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eni.manrique\Desktop\"/>
    </mc:Choice>
  </mc:AlternateContent>
  <xr:revisionPtr revIDLastSave="0" documentId="8_{6D73BDDD-6C21-4720-9EB9-F0B1B12A5178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Detalle Recorrido 02162022" sheetId="2" r:id="rId1"/>
  </sheets>
  <definedNames>
    <definedName name="_xlnm._FilterDatabase" localSheetId="0" hidden="1">'Detalle Recorrido 02162022'!$A$1:$P$941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41" i="2" l="1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<sst xmlns="http://schemas.openxmlformats.org/spreadsheetml/2006/main" count="8476" uniqueCount="849">
  <si>
    <t>VEHÍCULO</t>
  </si>
  <si>
    <t>ESTADO</t>
  </si>
  <si>
    <t>TIPO DE EVENTO</t>
  </si>
  <si>
    <t>FECHA GPS</t>
  </si>
  <si>
    <t>HORA GPS</t>
  </si>
  <si>
    <t>UBICACIÓN</t>
  </si>
  <si>
    <t>VELOCIDAD (KM/H)</t>
  </si>
  <si>
    <t>ODÓMETRO</t>
  </si>
  <si>
    <t>LONGITUD</t>
  </si>
  <si>
    <t>LATITUD</t>
  </si>
  <si>
    <t>SENTIDO</t>
  </si>
  <si>
    <t>FECHA SISTEMA</t>
  </si>
  <si>
    <t>HORA SISTEMA</t>
  </si>
  <si>
    <t>TEMPERATURA</t>
  </si>
  <si>
    <t>ESTADO DE LA PUERTA</t>
  </si>
  <si>
    <t>EDAD DEL DATO</t>
  </si>
  <si>
    <t>SWN900</t>
  </si>
  <si>
    <t>Movimiento</t>
  </si>
  <si>
    <t>Tiempo Vehículo Encendido</t>
  </si>
  <si>
    <t>Nor-Occidente</t>
  </si>
  <si>
    <t>N/A|N/A</t>
  </si>
  <si>
    <t>Cerrada</t>
  </si>
  <si>
    <t>Nueva</t>
  </si>
  <si>
    <t>Norte</t>
  </si>
  <si>
    <t>Nor-Oriente</t>
  </si>
  <si>
    <t>12:06 AM</t>
  </si>
  <si>
    <t>12:07 AM</t>
  </si>
  <si>
    <t>Reporte por tiempo</t>
  </si>
  <si>
    <t>Vieja</t>
  </si>
  <si>
    <t>Occidente</t>
  </si>
  <si>
    <t>Sur-Occidente</t>
  </si>
  <si>
    <t>Sur</t>
  </si>
  <si>
    <t>12:18 AM</t>
  </si>
  <si>
    <t>Sur-Oriente</t>
  </si>
  <si>
    <t>12:32 AM</t>
  </si>
  <si>
    <t>12:48 AM</t>
  </si>
  <si>
    <t>01:01 AM</t>
  </si>
  <si>
    <t>01:02 AM</t>
  </si>
  <si>
    <t>01:04 AM</t>
  </si>
  <si>
    <t>01:05 AM</t>
  </si>
  <si>
    <t>01:06 AM</t>
  </si>
  <si>
    <t>Oriente</t>
  </si>
  <si>
    <t>01:16 AM</t>
  </si>
  <si>
    <t>01:17 AM</t>
  </si>
  <si>
    <t>01:18 AM</t>
  </si>
  <si>
    <t>01:19 AM</t>
  </si>
  <si>
    <t>01:20 AM</t>
  </si>
  <si>
    <t>01:21 AM</t>
  </si>
  <si>
    <t>01:22 AM</t>
  </si>
  <si>
    <t>01:23 AM</t>
  </si>
  <si>
    <t>01:24 AM</t>
  </si>
  <si>
    <t>01:25 AM</t>
  </si>
  <si>
    <t>01:26 AM</t>
  </si>
  <si>
    <t>01:28 AM</t>
  </si>
  <si>
    <t>01:29 AM</t>
  </si>
  <si>
    <t>01:30 AM</t>
  </si>
  <si>
    <t>01:31 AM</t>
  </si>
  <si>
    <t>01:32 AM</t>
  </si>
  <si>
    <t>01:33 AM</t>
  </si>
  <si>
    <t>01:34 AM</t>
  </si>
  <si>
    <t>01:35 AM</t>
  </si>
  <si>
    <t>01:36 AM</t>
  </si>
  <si>
    <t>01:37 AM</t>
  </si>
  <si>
    <t>01:38 AM</t>
  </si>
  <si>
    <t>01:39 AM</t>
  </si>
  <si>
    <t>01:40 AM</t>
  </si>
  <si>
    <t>01:41 AM</t>
  </si>
  <si>
    <t>01:42 AM</t>
  </si>
  <si>
    <t>01:43 AM</t>
  </si>
  <si>
    <t>01:44 AM</t>
  </si>
  <si>
    <t>01:45 AM</t>
  </si>
  <si>
    <t>01:46 AM</t>
  </si>
  <si>
    <t>01:47 AM</t>
  </si>
  <si>
    <t>01:48 AM</t>
  </si>
  <si>
    <t>01:49 AM</t>
  </si>
  <si>
    <t>01:50 AM</t>
  </si>
  <si>
    <t>01:51 AM</t>
  </si>
  <si>
    <t>01:52 AM</t>
  </si>
  <si>
    <t>01:53 AM</t>
  </si>
  <si>
    <t>01:54 AM</t>
  </si>
  <si>
    <t>01:55 AM</t>
  </si>
  <si>
    <t>01:56 AM</t>
  </si>
  <si>
    <t>01:57 AM</t>
  </si>
  <si>
    <t>01:58 AM</t>
  </si>
  <si>
    <t>01:59 AM</t>
  </si>
  <si>
    <t>02:00 AM</t>
  </si>
  <si>
    <t>02:01 AM</t>
  </si>
  <si>
    <t>02:02 AM</t>
  </si>
  <si>
    <t>02:03 AM</t>
  </si>
  <si>
    <t>02:04 AM</t>
  </si>
  <si>
    <t>02:05 AM</t>
  </si>
  <si>
    <t>02:06 AM</t>
  </si>
  <si>
    <t>02:07 AM</t>
  </si>
  <si>
    <t>02:08 AM</t>
  </si>
  <si>
    <t>Detenido-Ralenti</t>
  </si>
  <si>
    <t>02:10 AM</t>
  </si>
  <si>
    <t>02:11 AM</t>
  </si>
  <si>
    <t>02:12 AM</t>
  </si>
  <si>
    <t>02:13 AM</t>
  </si>
  <si>
    <t>02:15 AM</t>
  </si>
  <si>
    <t>02:16 AM</t>
  </si>
  <si>
    <t>02:17 AM</t>
  </si>
  <si>
    <t>02:18 AM</t>
  </si>
  <si>
    <t>02:19 AM</t>
  </si>
  <si>
    <t>02:20 AM</t>
  </si>
  <si>
    <t>02:21 AM</t>
  </si>
  <si>
    <t>02:22 AM</t>
  </si>
  <si>
    <t>02:23 AM</t>
  </si>
  <si>
    <t>02:24 AM</t>
  </si>
  <si>
    <t>02:25 AM</t>
  </si>
  <si>
    <t>02:26 AM</t>
  </si>
  <si>
    <t>02:27 AM</t>
  </si>
  <si>
    <t>02:32 AM</t>
  </si>
  <si>
    <t>02:38 AM</t>
  </si>
  <si>
    <t>Apagado</t>
  </si>
  <si>
    <t>Vehículo apagado</t>
  </si>
  <si>
    <t>Vehículo encendido</t>
  </si>
  <si>
    <t>02:57 AM</t>
  </si>
  <si>
    <t>03:08 AM</t>
  </si>
  <si>
    <t>03:27 AM</t>
  </si>
  <si>
    <t>03:31 AM</t>
  </si>
  <si>
    <t>03:46 AM</t>
  </si>
  <si>
    <t>04:16 AM</t>
  </si>
  <si>
    <t>04:27 AM</t>
  </si>
  <si>
    <t>04:46 AM</t>
  </si>
  <si>
    <t>04:52 AM</t>
  </si>
  <si>
    <t>04:55 AM</t>
  </si>
  <si>
    <t>05:16 AM</t>
  </si>
  <si>
    <t>05:25 AM</t>
  </si>
  <si>
    <t>05:31 AM</t>
  </si>
  <si>
    <t>05:32 AM</t>
  </si>
  <si>
    <t>05:46 AM</t>
  </si>
  <si>
    <t>05:47 AM</t>
  </si>
  <si>
    <t>05:48 AM</t>
  </si>
  <si>
    <t>05:49 AM</t>
  </si>
  <si>
    <t>05:50 AM</t>
  </si>
  <si>
    <t>05:51 AM</t>
  </si>
  <si>
    <t>05:52 AM</t>
  </si>
  <si>
    <t>05:53 AM</t>
  </si>
  <si>
    <t>05:54 AM</t>
  </si>
  <si>
    <t>05:55 AM</t>
  </si>
  <si>
    <t>05:56 AM</t>
  </si>
  <si>
    <t>05:57 AM</t>
  </si>
  <si>
    <t>05:58 AM</t>
  </si>
  <si>
    <t>05:59 AM</t>
  </si>
  <si>
    <t>06:00 AM</t>
  </si>
  <si>
    <t>06:01 AM</t>
  </si>
  <si>
    <t>06:02 AM</t>
  </si>
  <si>
    <t>06:03 AM</t>
  </si>
  <si>
    <t>06:04 AM</t>
  </si>
  <si>
    <t>06:05 AM</t>
  </si>
  <si>
    <t>06:06 AM</t>
  </si>
  <si>
    <t>06:07 AM</t>
  </si>
  <si>
    <t>06:11 AM</t>
  </si>
  <si>
    <t>06:08 AM</t>
  </si>
  <si>
    <t>06:09 AM</t>
  </si>
  <si>
    <t>06:10 AM</t>
  </si>
  <si>
    <t>06:12 AM</t>
  </si>
  <si>
    <t>06:13 AM</t>
  </si>
  <si>
    <t>06:14 AM</t>
  </si>
  <si>
    <t>06:15 AM</t>
  </si>
  <si>
    <t>06:16 AM</t>
  </si>
  <si>
    <t>06:17 AM</t>
  </si>
  <si>
    <t>06:18 AM</t>
  </si>
  <si>
    <t>06:19 AM</t>
  </si>
  <si>
    <t>06:20 AM</t>
  </si>
  <si>
    <t>06:21 AM</t>
  </si>
  <si>
    <t>06:22 AM</t>
  </si>
  <si>
    <t>06:24 AM</t>
  </si>
  <si>
    <t>06:25 AM</t>
  </si>
  <si>
    <t>06:26 AM</t>
  </si>
  <si>
    <t>06:27 AM</t>
  </si>
  <si>
    <t>06:28 AM</t>
  </si>
  <si>
    <t>06:29 AM</t>
  </si>
  <si>
    <t>06:30 AM</t>
  </si>
  <si>
    <t>06:31 AM</t>
  </si>
  <si>
    <t>06:32 AM</t>
  </si>
  <si>
    <t>06:33 AM</t>
  </si>
  <si>
    <t>06:34 AM</t>
  </si>
  <si>
    <t>06:35 AM</t>
  </si>
  <si>
    <t>06:36 AM</t>
  </si>
  <si>
    <t>06:37 AM</t>
  </si>
  <si>
    <t>06:38 AM</t>
  </si>
  <si>
    <t>06:39 AM</t>
  </si>
  <si>
    <t>06:40 AM</t>
  </si>
  <si>
    <t>06:58 AM</t>
  </si>
  <si>
    <t>Tiempo Vehículo Apagado</t>
  </si>
  <si>
    <t>07:58 AM</t>
  </si>
  <si>
    <t>08:01 AM</t>
  </si>
  <si>
    <t>08:58 AM</t>
  </si>
  <si>
    <t>09:10 AM</t>
  </si>
  <si>
    <t>09:13 AM</t>
  </si>
  <si>
    <t>09:14 AM</t>
  </si>
  <si>
    <t>Respuesta interrogación</t>
  </si>
  <si>
    <t>12:07 PM</t>
  </si>
  <si>
    <t>12:08 PM</t>
  </si>
  <si>
    <t>12:09 PM</t>
  </si>
  <si>
    <t>12:10 PM</t>
  </si>
  <si>
    <t>12:12 PM</t>
  </si>
  <si>
    <t>12:13 PM</t>
  </si>
  <si>
    <t>12:11 PM</t>
  </si>
  <si>
    <t>12:14 PM</t>
  </si>
  <si>
    <t>12:15 PM</t>
  </si>
  <si>
    <t>12:16 PM</t>
  </si>
  <si>
    <t>12:17 PM</t>
  </si>
  <si>
    <t>12:18 PM</t>
  </si>
  <si>
    <t>12:20 PM</t>
  </si>
  <si>
    <t>12:19 PM</t>
  </si>
  <si>
    <t>12:21 PM</t>
  </si>
  <si>
    <t>01:21 PM</t>
  </si>
  <si>
    <t>01:22 PM</t>
  </si>
  <si>
    <t>01:24 PM</t>
  </si>
  <si>
    <t>01:25 PM</t>
  </si>
  <si>
    <t>01:26 PM</t>
  </si>
  <si>
    <t>01:27 PM</t>
  </si>
  <si>
    <t>01:28 PM</t>
  </si>
  <si>
    <t>01:29 PM</t>
  </si>
  <si>
    <t>01:30 PM</t>
  </si>
  <si>
    <t>01:31 PM</t>
  </si>
  <si>
    <t>01:32 PM</t>
  </si>
  <si>
    <t>01:33 PM</t>
  </si>
  <si>
    <t>01:34 PM</t>
  </si>
  <si>
    <t>01:35 PM</t>
  </si>
  <si>
    <t>01:36 PM</t>
  </si>
  <si>
    <t>01:37 PM</t>
  </si>
  <si>
    <t>01:38 PM</t>
  </si>
  <si>
    <t>01:39 PM</t>
  </si>
  <si>
    <t>01:40 PM</t>
  </si>
  <si>
    <t>01:41 PM</t>
  </si>
  <si>
    <t>01:42 PM</t>
  </si>
  <si>
    <t>01:43 PM</t>
  </si>
  <si>
    <t>01:44 PM</t>
  </si>
  <si>
    <t>01:45 PM</t>
  </si>
  <si>
    <t>01:46 PM</t>
  </si>
  <si>
    <t>01:47 PM</t>
  </si>
  <si>
    <t>01:48 PM</t>
  </si>
  <si>
    <t>01:49 PM</t>
  </si>
  <si>
    <t>01:50 PM</t>
  </si>
  <si>
    <t>01:51 PM</t>
  </si>
  <si>
    <t>01:52 PM</t>
  </si>
  <si>
    <t>01:53 PM</t>
  </si>
  <si>
    <t>01:54 PM</t>
  </si>
  <si>
    <t>01:55 PM</t>
  </si>
  <si>
    <t>01:56 PM</t>
  </si>
  <si>
    <t>01:57 PM</t>
  </si>
  <si>
    <t>Exceso de velocidad (60 Km/hr)</t>
  </si>
  <si>
    <t>Abierta</t>
  </si>
  <si>
    <t>Terminó exceso de velocidad</t>
  </si>
  <si>
    <t>01:58 PM</t>
  </si>
  <si>
    <t>01:59 PM</t>
  </si>
  <si>
    <t>02:00 PM</t>
  </si>
  <si>
    <t>02:01 PM</t>
  </si>
  <si>
    <t>02:02 PM</t>
  </si>
  <si>
    <t>02:03 PM</t>
  </si>
  <si>
    <t>02:04 PM</t>
  </si>
  <si>
    <t>02:05 PM</t>
  </si>
  <si>
    <t>02:06 PM</t>
  </si>
  <si>
    <t>02:07 PM</t>
  </si>
  <si>
    <t>02:08 PM</t>
  </si>
  <si>
    <t>02:10 PM</t>
  </si>
  <si>
    <t>02:09 PM</t>
  </si>
  <si>
    <t>02:11 PM</t>
  </si>
  <si>
    <t>02:12 PM</t>
  </si>
  <si>
    <t>02:14 PM</t>
  </si>
  <si>
    <t>02:15 PM</t>
  </si>
  <si>
    <t>02:17 PM</t>
  </si>
  <si>
    <t>02:18 PM</t>
  </si>
  <si>
    <t>02:19 PM</t>
  </si>
  <si>
    <t>02:21 PM</t>
  </si>
  <si>
    <t>02:22 PM</t>
  </si>
  <si>
    <t>02:23 PM</t>
  </si>
  <si>
    <t>02:24 PM</t>
  </si>
  <si>
    <t>02:25 PM</t>
  </si>
  <si>
    <t>02:27 PM</t>
  </si>
  <si>
    <t>02:26 PM</t>
  </si>
  <si>
    <t>02:28 PM</t>
  </si>
  <si>
    <t>02:29 PM</t>
  </si>
  <si>
    <t>02:30 PM</t>
  </si>
  <si>
    <t>02:31 PM</t>
  </si>
  <si>
    <t>03:01 PM</t>
  </si>
  <si>
    <t>03:31 PM</t>
  </si>
  <si>
    <t>03:36 PM</t>
  </si>
  <si>
    <t>03:37 PM</t>
  </si>
  <si>
    <t>03:38 PM</t>
  </si>
  <si>
    <t>03:39 PM</t>
  </si>
  <si>
    <t>03:40 PM</t>
  </si>
  <si>
    <t>03:51 PM</t>
  </si>
  <si>
    <t>03:52 PM</t>
  </si>
  <si>
    <t>03:56 PM</t>
  </si>
  <si>
    <t>05:45 PM</t>
  </si>
  <si>
    <t>06:15 PM</t>
  </si>
  <si>
    <t>06:45 PM</t>
  </si>
  <si>
    <t>07:15 PM</t>
  </si>
  <si>
    <t>07:45 PM</t>
  </si>
  <si>
    <t>08:15 PM</t>
  </si>
  <si>
    <t>08:19 PM</t>
  </si>
  <si>
    <t>08:20 PM</t>
  </si>
  <si>
    <t>09:19 PM</t>
  </si>
  <si>
    <t>09:49 PM</t>
  </si>
  <si>
    <t>09:59 PM</t>
  </si>
  <si>
    <t>10:29 PM</t>
  </si>
  <si>
    <t>10:59 PM</t>
  </si>
  <si>
    <t>06:23 AM</t>
  </si>
  <si>
    <t>12:27 PM</t>
  </si>
  <si>
    <t>12:28 PM</t>
  </si>
  <si>
    <t>02:42 PM</t>
  </si>
  <si>
    <t>03:12 PM</t>
  </si>
  <si>
    <t>03:27 PM</t>
  </si>
  <si>
    <t>03:32 PM</t>
  </si>
  <si>
    <t>03:46 PM</t>
  </si>
  <si>
    <t>04:06 PM</t>
  </si>
  <si>
    <t>04:36 PM</t>
  </si>
  <si>
    <t>05:02 PM</t>
  </si>
  <si>
    <t>05:28 PM</t>
  </si>
  <si>
    <t>05:58 PM</t>
  </si>
  <si>
    <t>06:00 PM</t>
  </si>
  <si>
    <t>06:24 PM</t>
  </si>
  <si>
    <t>06:33 PM</t>
  </si>
  <si>
    <t>06:49 PM</t>
  </si>
  <si>
    <t>07:06 PM</t>
  </si>
  <si>
    <t>07:22 PM</t>
  </si>
  <si>
    <t>07:52 PM</t>
  </si>
  <si>
    <t>08:22 PM</t>
  </si>
  <si>
    <t>08:23 PM</t>
  </si>
  <si>
    <t>08:52 PM</t>
  </si>
  <si>
    <t>08:53 PM</t>
  </si>
  <si>
    <t>09:22 PM</t>
  </si>
  <si>
    <t>09:23 PM</t>
  </si>
  <si>
    <t>09:53 PM</t>
  </si>
  <si>
    <t>10:13 PM</t>
  </si>
  <si>
    <t>10:43 PM</t>
  </si>
  <si>
    <t>09:48 AM</t>
  </si>
  <si>
    <t>11:30 AM</t>
  </si>
  <si>
    <t>12:23 PM</t>
  </si>
  <si>
    <t>12:24 PM</t>
  </si>
  <si>
    <t>12:32 PM</t>
  </si>
  <si>
    <t>12:33 PM</t>
  </si>
  <si>
    <t>12:41 PM</t>
  </si>
  <si>
    <t>12:45 PM</t>
  </si>
  <si>
    <t>02:32 PM</t>
  </si>
  <si>
    <t>02:33 PM</t>
  </si>
  <si>
    <t>02:34 PM</t>
  </si>
  <si>
    <t>02:35 PM</t>
  </si>
  <si>
    <t>02:58 PM</t>
  </si>
  <si>
    <t>02:59 PM</t>
  </si>
  <si>
    <t>03:18 PM</t>
  </si>
  <si>
    <t>03:20 PM</t>
  </si>
  <si>
    <t>03:21 PM</t>
  </si>
  <si>
    <t>03:22 PM</t>
  </si>
  <si>
    <t>03:23 PM</t>
  </si>
  <si>
    <t>03:24 PM</t>
  </si>
  <si>
    <t>03:25 PM</t>
  </si>
  <si>
    <t>03:26 PM</t>
  </si>
  <si>
    <t>03:28 PM</t>
  </si>
  <si>
    <t>03:29 PM</t>
  </si>
  <si>
    <t>03:30 PM</t>
  </si>
  <si>
    <t>03:33 PM</t>
  </si>
  <si>
    <t>03:34 PM</t>
  </si>
  <si>
    <t>03:35 PM</t>
  </si>
  <si>
    <t>03:45 PM</t>
  </si>
  <si>
    <t>03:41 PM</t>
  </si>
  <si>
    <t>03:42 PM</t>
  </si>
  <si>
    <t>03:43 PM</t>
  </si>
  <si>
    <t>03:44 PM</t>
  </si>
  <si>
    <t>03:47 PM</t>
  </si>
  <si>
    <t>03:48 PM</t>
  </si>
  <si>
    <t>03:49 PM</t>
  </si>
  <si>
    <t>03:50 PM</t>
  </si>
  <si>
    <t>03:53 PM</t>
  </si>
  <si>
    <t>03:54 PM</t>
  </si>
  <si>
    <t>03:55 PM</t>
  </si>
  <si>
    <t>03:57 PM</t>
  </si>
  <si>
    <t>03:58 PM</t>
  </si>
  <si>
    <t>03:59 PM</t>
  </si>
  <si>
    <t>04:00 PM</t>
  </si>
  <si>
    <t>04:01 PM</t>
  </si>
  <si>
    <t>04:02 PM</t>
  </si>
  <si>
    <t>04:03 PM</t>
  </si>
  <si>
    <t>04:04 PM</t>
  </si>
  <si>
    <t>04:05 PM</t>
  </si>
  <si>
    <t>04:07 PM</t>
  </si>
  <si>
    <t>04:08 PM</t>
  </si>
  <si>
    <t>04:21 PM</t>
  </si>
  <si>
    <t>04:09 PM</t>
  </si>
  <si>
    <t>04:10 PM</t>
  </si>
  <si>
    <t>04:11 PM</t>
  </si>
  <si>
    <t>04:12 PM</t>
  </si>
  <si>
    <t>04:13 PM</t>
  </si>
  <si>
    <t>04:15 PM</t>
  </si>
  <si>
    <t>04:16 PM</t>
  </si>
  <si>
    <t>04:17 PM</t>
  </si>
  <si>
    <t>04:18 PM</t>
  </si>
  <si>
    <t>04:19 PM</t>
  </si>
  <si>
    <t>04:20 PM</t>
  </si>
  <si>
    <t>04:22 PM</t>
  </si>
  <si>
    <t>04:23 PM</t>
  </si>
  <si>
    <t>04:24 PM</t>
  </si>
  <si>
    <t>04:37 PM</t>
  </si>
  <si>
    <t>04:38 PM</t>
  </si>
  <si>
    <t>04:47 PM</t>
  </si>
  <si>
    <t>04:48 PM</t>
  </si>
  <si>
    <t>04:49 PM</t>
  </si>
  <si>
    <t>04:50 PM</t>
  </si>
  <si>
    <t>04:51 PM</t>
  </si>
  <si>
    <t>04:52 PM</t>
  </si>
  <si>
    <t>04:53 PM</t>
  </si>
  <si>
    <t>04:54 PM</t>
  </si>
  <si>
    <t>04:55 PM</t>
  </si>
  <si>
    <t>04:56 PM</t>
  </si>
  <si>
    <t>04:57 PM</t>
  </si>
  <si>
    <t>04:58 PM</t>
  </si>
  <si>
    <t>04:59 PM</t>
  </si>
  <si>
    <t>05:00 PM</t>
  </si>
  <si>
    <t>05:01 PM</t>
  </si>
  <si>
    <t>05:03 PM</t>
  </si>
  <si>
    <t>05:04 PM</t>
  </si>
  <si>
    <t>05:05 PM</t>
  </si>
  <si>
    <t>05:06 PM</t>
  </si>
  <si>
    <t>05:07 PM</t>
  </si>
  <si>
    <t>05:08 PM</t>
  </si>
  <si>
    <t>05:38 PM</t>
  </si>
  <si>
    <t>05:39 PM</t>
  </si>
  <si>
    <t>05:40 PM</t>
  </si>
  <si>
    <t>05:52 PM</t>
  </si>
  <si>
    <t>05:53 PM</t>
  </si>
  <si>
    <t>05:54 PM</t>
  </si>
  <si>
    <t>05:55 PM</t>
  </si>
  <si>
    <t>05:56 PM</t>
  </si>
  <si>
    <t>05:57 PM</t>
  </si>
  <si>
    <t>05:59 PM</t>
  </si>
  <si>
    <t>06:01 PM</t>
  </si>
  <si>
    <t>06:02 PM</t>
  </si>
  <si>
    <t>06:03 PM</t>
  </si>
  <si>
    <t>06:04 PM</t>
  </si>
  <si>
    <t>06:05 PM</t>
  </si>
  <si>
    <t>06:06 PM</t>
  </si>
  <si>
    <t>06:07 PM</t>
  </si>
  <si>
    <t>06:08 PM</t>
  </si>
  <si>
    <t>06:09 PM</t>
  </si>
  <si>
    <t>06:10 PM</t>
  </si>
  <si>
    <t>06:11 PM</t>
  </si>
  <si>
    <t>06:12 PM</t>
  </si>
  <si>
    <t>06:13 PM</t>
  </si>
  <si>
    <t>06:14 PM</t>
  </si>
  <si>
    <t>06:16 PM</t>
  </si>
  <si>
    <t>06:17 PM</t>
  </si>
  <si>
    <t>06:18 PM</t>
  </si>
  <si>
    <t>06:19 PM</t>
  </si>
  <si>
    <t>06:20 PM</t>
  </si>
  <si>
    <t>06:21 PM</t>
  </si>
  <si>
    <t>06:22 PM</t>
  </si>
  <si>
    <t>06:23 PM</t>
  </si>
  <si>
    <t>06:25 PM</t>
  </si>
  <si>
    <t>06:26 PM</t>
  </si>
  <si>
    <t>06:27 PM</t>
  </si>
  <si>
    <t>06:28 PM</t>
  </si>
  <si>
    <t>06:29 PM</t>
  </si>
  <si>
    <t>06:30 PM</t>
  </si>
  <si>
    <t>06:31 PM</t>
  </si>
  <si>
    <t>06:32 PM</t>
  </si>
  <si>
    <t>06:51 PM</t>
  </si>
  <si>
    <t>06:54 PM</t>
  </si>
  <si>
    <t>06:57 PM</t>
  </si>
  <si>
    <t>07:09 PM</t>
  </si>
  <si>
    <t>07:10 PM</t>
  </si>
  <si>
    <t>07:11 PM</t>
  </si>
  <si>
    <t>07:12 PM</t>
  </si>
  <si>
    <t>07:14 PM</t>
  </si>
  <si>
    <t>07:16 PM</t>
  </si>
  <si>
    <t>07:17 PM</t>
  </si>
  <si>
    <t>07:18 PM</t>
  </si>
  <si>
    <t>07:19 PM</t>
  </si>
  <si>
    <t>07:20 PM</t>
  </si>
  <si>
    <t>07:21 PM</t>
  </si>
  <si>
    <t>07:23 PM</t>
  </si>
  <si>
    <t>07:24 PM</t>
  </si>
  <si>
    <t>07:25 PM</t>
  </si>
  <si>
    <t>07:26 PM</t>
  </si>
  <si>
    <t>07:28 PM</t>
  </si>
  <si>
    <t>07:29 PM</t>
  </si>
  <si>
    <t>07:31 PM</t>
  </si>
  <si>
    <t>07:33 PM</t>
  </si>
  <si>
    <t>07:35 PM</t>
  </si>
  <si>
    <t>07:36 PM</t>
  </si>
  <si>
    <t>07:37 PM</t>
  </si>
  <si>
    <t>07:38 PM</t>
  </si>
  <si>
    <t>07:39 PM</t>
  </si>
  <si>
    <t>07:40 PM</t>
  </si>
  <si>
    <t>07:41 PM</t>
  </si>
  <si>
    <t>07:42 PM</t>
  </si>
  <si>
    <t>07:43 PM</t>
  </si>
  <si>
    <t>07:44 PM</t>
  </si>
  <si>
    <t>07:46 PM</t>
  </si>
  <si>
    <t>07:47 PM</t>
  </si>
  <si>
    <t>07:48 PM</t>
  </si>
  <si>
    <t>07:49 PM</t>
  </si>
  <si>
    <t>07:50 PM</t>
  </si>
  <si>
    <t>07:51 PM</t>
  </si>
  <si>
    <t>07:53 PM</t>
  </si>
  <si>
    <t>07:54 PM</t>
  </si>
  <si>
    <t>07:55 PM</t>
  </si>
  <si>
    <t>07:56 PM</t>
  </si>
  <si>
    <t>07:57 PM</t>
  </si>
  <si>
    <t>07:58 PM</t>
  </si>
  <si>
    <t>07:59 PM</t>
  </si>
  <si>
    <t>08:00 PM</t>
  </si>
  <si>
    <t>08:01 PM</t>
  </si>
  <si>
    <t>08:02 PM</t>
  </si>
  <si>
    <t>08:03 PM</t>
  </si>
  <si>
    <t>08:04 PM</t>
  </si>
  <si>
    <t>08:05 PM</t>
  </si>
  <si>
    <t>08:06 PM</t>
  </si>
  <si>
    <t>08:07 PM</t>
  </si>
  <si>
    <t>08:08 PM</t>
  </si>
  <si>
    <t>08:09 PM</t>
  </si>
  <si>
    <t>08:10 PM</t>
  </si>
  <si>
    <t>08:11 PM</t>
  </si>
  <si>
    <t>08:12 PM</t>
  </si>
  <si>
    <t>08:13 PM</t>
  </si>
  <si>
    <t>08:14 PM</t>
  </si>
  <si>
    <t>08:16 PM</t>
  </si>
  <si>
    <t>08:17 PM</t>
  </si>
  <si>
    <t>08:18 PM</t>
  </si>
  <si>
    <t>08:21 PM</t>
  </si>
  <si>
    <t>08:24 PM</t>
  </si>
  <si>
    <t>08:25 PM</t>
  </si>
  <si>
    <t>08:26 PM</t>
  </si>
  <si>
    <t>08:27 PM</t>
  </si>
  <si>
    <t>08:28 PM</t>
  </si>
  <si>
    <t>08:29 PM</t>
  </si>
  <si>
    <t>08:30 PM</t>
  </si>
  <si>
    <t>08:31 PM</t>
  </si>
  <si>
    <t>08:32 PM</t>
  </si>
  <si>
    <t>08:33 PM</t>
  </si>
  <si>
    <t>08:34 PM</t>
  </si>
  <si>
    <t>08:35 PM</t>
  </si>
  <si>
    <t>08:36 PM</t>
  </si>
  <si>
    <t>08:37 PM</t>
  </si>
  <si>
    <t>08:38 PM</t>
  </si>
  <si>
    <t>08:39 PM</t>
  </si>
  <si>
    <t>08:40 PM</t>
  </si>
  <si>
    <t>08:41 PM</t>
  </si>
  <si>
    <t>08:42 PM</t>
  </si>
  <si>
    <t>08:43 PM</t>
  </si>
  <si>
    <t>08:44 PM</t>
  </si>
  <si>
    <t>08:45 PM</t>
  </si>
  <si>
    <t>08:46 PM</t>
  </si>
  <si>
    <t>08:47 PM</t>
  </si>
  <si>
    <t>08:48 PM</t>
  </si>
  <si>
    <t>08:49 PM</t>
  </si>
  <si>
    <t>08:50 PM</t>
  </si>
  <si>
    <t>08:51 PM</t>
  </si>
  <si>
    <t>08:54 PM</t>
  </si>
  <si>
    <t>08:55 PM</t>
  </si>
  <si>
    <t>08:56 PM</t>
  </si>
  <si>
    <t>08:57 PM</t>
  </si>
  <si>
    <t>08:58 PM</t>
  </si>
  <si>
    <t>08:59 PM</t>
  </si>
  <si>
    <t>09:00 PM</t>
  </si>
  <si>
    <t>09:01 PM</t>
  </si>
  <si>
    <t>09:02 PM</t>
  </si>
  <si>
    <t>09:03 PM</t>
  </si>
  <si>
    <t>09:04 PM</t>
  </si>
  <si>
    <t>09:05 PM</t>
  </si>
  <si>
    <t>09:06 PM</t>
  </si>
  <si>
    <t>09:07 PM</t>
  </si>
  <si>
    <t>09:09 PM</t>
  </si>
  <si>
    <t>09:10 PM</t>
  </si>
  <si>
    <t>09:11 PM</t>
  </si>
  <si>
    <t>09:12 PM</t>
  </si>
  <si>
    <t>09:13 PM</t>
  </si>
  <si>
    <t>09:15 PM</t>
  </si>
  <si>
    <t>09:14 PM</t>
  </si>
  <si>
    <t>09:16 PM</t>
  </si>
  <si>
    <t>09:18 PM</t>
  </si>
  <si>
    <t>09:17 PM</t>
  </si>
  <si>
    <t>09:20 PM</t>
  </si>
  <si>
    <t>09:21 PM</t>
  </si>
  <si>
    <t>09:24 PM</t>
  </si>
  <si>
    <t>09:25 PM</t>
  </si>
  <si>
    <t>09:26 PM</t>
  </si>
  <si>
    <t>09:27 PM</t>
  </si>
  <si>
    <t>09:28 PM</t>
  </si>
  <si>
    <t>09:29 PM</t>
  </si>
  <si>
    <t>09:30 PM</t>
  </si>
  <si>
    <t>09:31 PM</t>
  </si>
  <si>
    <t>09:32 PM</t>
  </si>
  <si>
    <t>09:33 PM</t>
  </si>
  <si>
    <t>09:34 PM</t>
  </si>
  <si>
    <t>09:35 PM</t>
  </si>
  <si>
    <t>09:36 PM</t>
  </si>
  <si>
    <t>09:37 PM</t>
  </si>
  <si>
    <t>09:38 PM</t>
  </si>
  <si>
    <t>09:39 PM</t>
  </si>
  <si>
    <t>09:40 PM</t>
  </si>
  <si>
    <t>09:41 PM</t>
  </si>
  <si>
    <t>09:42 PM</t>
  </si>
  <si>
    <t>09:46 PM</t>
  </si>
  <si>
    <t>09:43 PM</t>
  </si>
  <si>
    <t>09:44 PM</t>
  </si>
  <si>
    <t>09:47 PM</t>
  </si>
  <si>
    <t>09:48 PM</t>
  </si>
  <si>
    <t>09:50 PM</t>
  </si>
  <si>
    <t>09:51 PM</t>
  </si>
  <si>
    <t>09:54 PM</t>
  </si>
  <si>
    <t>09:55 PM</t>
  </si>
  <si>
    <t>09:56 PM</t>
  </si>
  <si>
    <t>09:57 PM</t>
  </si>
  <si>
    <t>09:58 PM</t>
  </si>
  <si>
    <t>10:00 PM</t>
  </si>
  <si>
    <t>10:01 PM</t>
  </si>
  <si>
    <t>10:03 PM</t>
  </si>
  <si>
    <t>10:04 PM</t>
  </si>
  <si>
    <t>10:05 PM</t>
  </si>
  <si>
    <t>10:06 PM</t>
  </si>
  <si>
    <t>10:07 PM</t>
  </si>
  <si>
    <t>10:09 PM</t>
  </si>
  <si>
    <t>10:11 PM</t>
  </si>
  <si>
    <t>10:10 PM</t>
  </si>
  <si>
    <t>10:12 PM</t>
  </si>
  <si>
    <t>10:14 PM</t>
  </si>
  <si>
    <t>10:15 PM</t>
  </si>
  <si>
    <t>10:16 PM</t>
  </si>
  <si>
    <t>10:17 PM</t>
  </si>
  <si>
    <t>10:18 PM</t>
  </si>
  <si>
    <t>10:19 PM</t>
  </si>
  <si>
    <t>10:20 PM</t>
  </si>
  <si>
    <t>10:21 PM</t>
  </si>
  <si>
    <t>10:22 PM</t>
  </si>
  <si>
    <t>10:23 PM</t>
  </si>
  <si>
    <t>10:24 PM</t>
  </si>
  <si>
    <t>10:25 PM</t>
  </si>
  <si>
    <t>10:26 PM</t>
  </si>
  <si>
    <t>10:27 PM</t>
  </si>
  <si>
    <t>10:28 PM</t>
  </si>
  <si>
    <t>10:30 PM</t>
  </si>
  <si>
    <t>10:31 PM</t>
  </si>
  <si>
    <t>10:32 PM</t>
  </si>
  <si>
    <t>10:33 PM</t>
  </si>
  <si>
    <t>10:34 PM</t>
  </si>
  <si>
    <t>10:35 PM</t>
  </si>
  <si>
    <t>10:36 PM</t>
  </si>
  <si>
    <t>10:37 PM</t>
  </si>
  <si>
    <t>10:38 PM</t>
  </si>
  <si>
    <t>10:39 PM</t>
  </si>
  <si>
    <t>10:40 PM</t>
  </si>
  <si>
    <t>10:41 PM</t>
  </si>
  <si>
    <t>11:37 PM</t>
  </si>
  <si>
    <t>02:09 AM</t>
  </si>
  <si>
    <t>02:14 AM</t>
  </si>
  <si>
    <t>03:57 AM</t>
  </si>
  <si>
    <t>07:01 AM</t>
  </si>
  <si>
    <t>07:28 AM</t>
  </si>
  <si>
    <t>07:31 AM</t>
  </si>
  <si>
    <t>08:07 AM</t>
  </si>
  <si>
    <t>09:07 AM</t>
  </si>
  <si>
    <t>11:28 AM</t>
  </si>
  <si>
    <t>11:29 AM</t>
  </si>
  <si>
    <t>11:31 AM</t>
  </si>
  <si>
    <t>11:39 AM</t>
  </si>
  <si>
    <t>12:25 PM</t>
  </si>
  <si>
    <t>12:26 PM</t>
  </si>
  <si>
    <t>12:29 PM</t>
  </si>
  <si>
    <t>12:30 PM</t>
  </si>
  <si>
    <t>12:31 PM</t>
  </si>
  <si>
    <t>12:34 PM</t>
  </si>
  <si>
    <t>12:35 PM</t>
  </si>
  <si>
    <t>12:36 PM</t>
  </si>
  <si>
    <t>12:37 PM</t>
  </si>
  <si>
    <t>12:38 PM</t>
  </si>
  <si>
    <t>12:39 PM</t>
  </si>
  <si>
    <t>12:40 PM</t>
  </si>
  <si>
    <t>12:42 PM</t>
  </si>
  <si>
    <t>12:43 PM</t>
  </si>
  <si>
    <t>12:44 PM</t>
  </si>
  <si>
    <t>12:59 PM</t>
  </si>
  <si>
    <t>01:00 PM</t>
  </si>
  <si>
    <t>01:01 PM</t>
  </si>
  <si>
    <t>01:02 PM</t>
  </si>
  <si>
    <t>01:03 PM</t>
  </si>
  <si>
    <t>01:04 PM</t>
  </si>
  <si>
    <t>01:05 PM</t>
  </si>
  <si>
    <t>01:06 PM</t>
  </si>
  <si>
    <t>01:07 PM</t>
  </si>
  <si>
    <t>01:08 PM</t>
  </si>
  <si>
    <t>01:09 PM</t>
  </si>
  <si>
    <t>01:10 PM</t>
  </si>
  <si>
    <t>01:11 PM</t>
  </si>
  <si>
    <t>01:12 PM</t>
  </si>
  <si>
    <t>01:13 PM</t>
  </si>
  <si>
    <t>01:14 PM</t>
  </si>
  <si>
    <t>01:16 PM</t>
  </si>
  <si>
    <t>01:17 PM</t>
  </si>
  <si>
    <t>01:18 PM</t>
  </si>
  <si>
    <t>01:19 PM</t>
  </si>
  <si>
    <t>01:20 PM</t>
  </si>
  <si>
    <t>01:23 PM</t>
  </si>
  <si>
    <t>02:13 PM</t>
  </si>
  <si>
    <t>02:16 PM</t>
  </si>
  <si>
    <t>02:20 PM</t>
  </si>
  <si>
    <t>02:36 PM</t>
  </si>
  <si>
    <t>02:37 PM</t>
  </si>
  <si>
    <t>02:38 PM</t>
  </si>
  <si>
    <t>02:39 PM</t>
  </si>
  <si>
    <t>02:40 PM</t>
  </si>
  <si>
    <t>02:41 PM</t>
  </si>
  <si>
    <t>02:43 PM</t>
  </si>
  <si>
    <t>02:44 PM</t>
  </si>
  <si>
    <t>02:46 PM</t>
  </si>
  <si>
    <t>02:47 PM</t>
  </si>
  <si>
    <t>02:48 PM</t>
  </si>
  <si>
    <t>02:49 PM</t>
  </si>
  <si>
    <t>02:50 PM</t>
  </si>
  <si>
    <t>02:51 PM</t>
  </si>
  <si>
    <t>02:52 PM</t>
  </si>
  <si>
    <t>02:53 PM</t>
  </si>
  <si>
    <t>02:54 PM</t>
  </si>
  <si>
    <t>02:55 PM</t>
  </si>
  <si>
    <t>02:56 PM</t>
  </si>
  <si>
    <t>02:57 PM</t>
  </si>
  <si>
    <t>03:00 PM</t>
  </si>
  <si>
    <t>03:02 PM</t>
  </si>
  <si>
    <t>03:03 PM</t>
  </si>
  <si>
    <t>03:04 PM</t>
  </si>
  <si>
    <t>03:05 PM</t>
  </si>
  <si>
    <t>03:06 PM</t>
  </si>
  <si>
    <t>03:07 PM</t>
  </si>
  <si>
    <t>03:08 PM</t>
  </si>
  <si>
    <t>03:09 PM</t>
  </si>
  <si>
    <t>03:10 PM</t>
  </si>
  <si>
    <t>03:11 PM</t>
  </si>
  <si>
    <t>03:13 PM</t>
  </si>
  <si>
    <t>03:14 PM</t>
  </si>
  <si>
    <t>03:15 PM</t>
  </si>
  <si>
    <t>03:16 PM</t>
  </si>
  <si>
    <t>03:17 PM</t>
  </si>
  <si>
    <t>03:19 PM</t>
  </si>
  <si>
    <t>04:14 PM</t>
  </si>
  <si>
    <t>05:10 PM</t>
  </si>
  <si>
    <t>06:40 PM</t>
  </si>
  <si>
    <t>05:11 PM</t>
  </si>
  <si>
    <t>05:23 PM</t>
  </si>
  <si>
    <t>05:22 PM</t>
  </si>
  <si>
    <t>06:52 PM</t>
  </si>
  <si>
    <t>06:53 PM</t>
  </si>
  <si>
    <t>10:42 PM</t>
  </si>
  <si>
    <t>10:44 PM</t>
  </si>
  <si>
    <t>10:45 PM</t>
  </si>
  <si>
    <t>10:46 PM</t>
  </si>
  <si>
    <t>10:47 PM</t>
  </si>
  <si>
    <t>10:48 PM</t>
  </si>
  <si>
    <t>10:49 PM</t>
  </si>
  <si>
    <t>10:50 PM</t>
  </si>
  <si>
    <t>10:51 PM</t>
  </si>
  <si>
    <t>10:52 PM</t>
  </si>
  <si>
    <t>10:53 PM</t>
  </si>
  <si>
    <t>10:54 PM</t>
  </si>
  <si>
    <t>10:55 PM</t>
  </si>
  <si>
    <t>10:56 PM</t>
  </si>
  <si>
    <t>10:57 PM</t>
  </si>
  <si>
    <t>10:58 PM</t>
  </si>
  <si>
    <t>11:00 PM</t>
  </si>
  <si>
    <t>11:01 PM</t>
  </si>
  <si>
    <t>11:02 PM</t>
  </si>
  <si>
    <t>11:03 PM</t>
  </si>
  <si>
    <t>11:04 PM</t>
  </si>
  <si>
    <t>11:05 PM</t>
  </si>
  <si>
    <t>11:06 PM</t>
  </si>
  <si>
    <t>11:07 PM</t>
  </si>
  <si>
    <t>08:37 AM</t>
  </si>
  <si>
    <t>09:44 AM</t>
  </si>
  <si>
    <t>09:49 AM</t>
  </si>
  <si>
    <t>09:55 AM</t>
  </si>
  <si>
    <t>11:06 AM</t>
  </si>
  <si>
    <t>11:59 AM</t>
  </si>
  <si>
    <t>12:00 PM</t>
  </si>
  <si>
    <t>12:01 PM</t>
  </si>
  <si>
    <t>12:02 PM</t>
  </si>
  <si>
    <t>12:22 PM</t>
  </si>
  <si>
    <t>02:45 PM</t>
  </si>
  <si>
    <t>06:38 PM</t>
  </si>
  <si>
    <t>07:08 PM</t>
  </si>
  <si>
    <t>10:18 AM</t>
  </si>
  <si>
    <t>10:19 AM</t>
  </si>
  <si>
    <t>10:36 AM</t>
  </si>
  <si>
    <t>05:09 PM</t>
  </si>
  <si>
    <t>05:19 PM</t>
  </si>
  <si>
    <t>05:12 PM</t>
  </si>
  <si>
    <t>05:13 PM</t>
  </si>
  <si>
    <t>05:14 PM</t>
  </si>
  <si>
    <t>05:15 PM</t>
  </si>
  <si>
    <t>05:16 PM</t>
  </si>
  <si>
    <t>05:17 PM</t>
  </si>
  <si>
    <t>05:18 PM</t>
  </si>
  <si>
    <t>05:20 PM</t>
  </si>
  <si>
    <t>05:21 PM</t>
  </si>
  <si>
    <t>05:24 PM</t>
  </si>
  <si>
    <t>05:25 PM</t>
  </si>
  <si>
    <t>05:26 PM</t>
  </si>
  <si>
    <t>05:27 PM</t>
  </si>
  <si>
    <t>05:29 PM</t>
  </si>
  <si>
    <t>05:30 PM</t>
  </si>
  <si>
    <t>05:31 PM</t>
  </si>
  <si>
    <t>05:32 PM</t>
  </si>
  <si>
    <t>05:33 PM</t>
  </si>
  <si>
    <t>05:34 PM</t>
  </si>
  <si>
    <t>05:35 PM</t>
  </si>
  <si>
    <t>05:36 PM</t>
  </si>
  <si>
    <t>05:37 PM</t>
  </si>
  <si>
    <t>05:42 PM</t>
  </si>
  <si>
    <t>05:41 PM</t>
  </si>
  <si>
    <t>05:44 PM</t>
  </si>
  <si>
    <t>05:43 PM</t>
  </si>
  <si>
    <t>05:46 PM</t>
  </si>
  <si>
    <t>05:47 PM</t>
  </si>
  <si>
    <t>05:48 PM</t>
  </si>
  <si>
    <t>05:49 PM</t>
  </si>
  <si>
    <t>05:50 PM</t>
  </si>
  <si>
    <t>05:51 PM</t>
  </si>
  <si>
    <t>06:34 PM</t>
  </si>
  <si>
    <t>06:39 PM</t>
  </si>
  <si>
    <t>06:35 PM</t>
  </si>
  <si>
    <t>06:36 PM</t>
  </si>
  <si>
    <t>06:37 PM</t>
  </si>
  <si>
    <t>06:41 PM</t>
  </si>
  <si>
    <t>06:42 PM</t>
  </si>
  <si>
    <t>06:43 PM</t>
  </si>
  <si>
    <t>06:44 PM</t>
  </si>
  <si>
    <t>06:46 PM</t>
  </si>
  <si>
    <t>06:47 PM</t>
  </si>
  <si>
    <t>06:48 PM</t>
  </si>
  <si>
    <t>06:50 PM</t>
  </si>
  <si>
    <t>06:55 PM</t>
  </si>
  <si>
    <t>06:56 PM</t>
  </si>
  <si>
    <t>06:58 PM</t>
  </si>
  <si>
    <t>06:59 PM</t>
  </si>
  <si>
    <t>07:00 PM</t>
  </si>
  <si>
    <t>07:01 PM</t>
  </si>
  <si>
    <t>07:02 PM</t>
  </si>
  <si>
    <t>07:03 PM</t>
  </si>
  <si>
    <t>07:04 PM</t>
  </si>
  <si>
    <t>07:05 PM</t>
  </si>
  <si>
    <t>07:13 PM</t>
  </si>
  <si>
    <t>09:45 PM</t>
  </si>
  <si>
    <t>08:28 AM</t>
  </si>
  <si>
    <t>09:16 AM</t>
  </si>
  <si>
    <t>09:19 AM</t>
  </si>
  <si>
    <t>09:20 AM</t>
  </si>
  <si>
    <t>09:35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</si>
</sst>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0" borderId="0" xfId="0" quotePrefix="1" applyNumberFormat="1" applyFill="1" applyAlignment="1" applyProtection="1"/>
    <xf numFmtId="0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1"/>
  <sheetViews>
    <sheetView tabSelected="1" topLeftCell="A382" workbookViewId="0">
      <selection activeCell="C392" sqref="C392"/>
    </sheetView>
  </sheetViews>
  <sheetFormatPr baseColWidth="10" defaultColWidth="9.140625" defaultRowHeight="15" x14ac:dyDescent="0.25"/>
  <cols>
    <col min="1" max="1" width="12.5703125" customWidth="1"/>
    <col min="2" max="2" width="19.28515625" customWidth="1"/>
    <col min="3" max="3" width="35.28515625" customWidth="1"/>
    <col min="4" max="4" width="13.5703125" customWidth="1"/>
    <col min="5" max="5" width="12.85546875" customWidth="1"/>
    <col min="6" max="6" width="40" customWidth="1"/>
    <col min="7" max="7" width="22" customWidth="1"/>
    <col min="8" max="8" width="14.42578125" customWidth="1"/>
    <col min="9" max="9" width="12.85546875" customWidth="1"/>
    <col min="10" max="10" width="10.7109375" customWidth="1"/>
    <col min="11" max="11" width="16.85546875" customWidth="1"/>
    <col min="12" max="12" width="18.42578125" customWidth="1"/>
    <col min="13" max="13" width="17.710937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16</v>
      </c>
      <c r="B2" t="s">
        <v>114</v>
      </c>
      <c r="C2" t="s">
        <v>193</v>
      </c>
      <c r="D2" s="1">
        <v>44614</v>
      </c>
      <c r="E2" s="2" t="s">
        <v>25</v>
      </c>
      <c r="F2" s="3" t="str">
        <f>HYPERLINK("https://maps.google.com/maps?q=4.83405,-75.67941&amp;ll=4.83405,-75.67941&amp;z=14.75z","Vía Santa Isabel II, Santa Isabel II, Comuna 4, Dosquebradas, Risaralda")</f>
        <v>Vía Santa Isabel II, Santa Isabel II, Comuna 4, Dosquebradas, Risaralda</v>
      </c>
      <c r="G2">
        <v>0</v>
      </c>
      <c r="H2">
        <v>138040</v>
      </c>
      <c r="I2">
        <v>-75.679410000000004</v>
      </c>
      <c r="J2">
        <v>4.8340500000000004</v>
      </c>
      <c r="K2" t="s">
        <v>24</v>
      </c>
      <c r="L2" s="1">
        <v>44614</v>
      </c>
      <c r="M2" s="2" t="s">
        <v>25</v>
      </c>
      <c r="N2" t="s">
        <v>20</v>
      </c>
      <c r="O2" t="s">
        <v>21</v>
      </c>
      <c r="P2" t="s">
        <v>22</v>
      </c>
    </row>
    <row r="3" spans="1:16" x14ac:dyDescent="0.25">
      <c r="A3" t="s">
        <v>16</v>
      </c>
      <c r="B3" t="s">
        <v>114</v>
      </c>
      <c r="C3" t="s">
        <v>193</v>
      </c>
      <c r="D3" s="1">
        <v>44614</v>
      </c>
      <c r="E3" s="2" t="s">
        <v>34</v>
      </c>
      <c r="F3" s="3" t="str">
        <f>HYPERLINK("https://maps.google.com/maps?q=4.83402,-75.6794&amp;ll=4.83402,-75.6794&amp;z=14.75z","Vía Santa Isabel II, Santa Isabel II, Comuna 4, Dosquebradas, Risaralda")</f>
        <v>Vía Santa Isabel II, Santa Isabel II, Comuna 4, Dosquebradas, Risaralda</v>
      </c>
      <c r="G3">
        <v>0</v>
      </c>
      <c r="H3">
        <v>138040</v>
      </c>
      <c r="I3">
        <v>-75.679400000000001</v>
      </c>
      <c r="J3">
        <v>4.8340199999999998</v>
      </c>
      <c r="K3" t="s">
        <v>19</v>
      </c>
      <c r="L3" s="1">
        <v>44614</v>
      </c>
      <c r="M3" s="2" t="s">
        <v>34</v>
      </c>
      <c r="N3" t="s">
        <v>20</v>
      </c>
      <c r="O3" t="s">
        <v>21</v>
      </c>
      <c r="P3" t="s">
        <v>22</v>
      </c>
    </row>
    <row r="4" spans="1:16" x14ac:dyDescent="0.25">
      <c r="A4" t="s">
        <v>16</v>
      </c>
      <c r="B4" t="s">
        <v>114</v>
      </c>
      <c r="C4" t="s">
        <v>186</v>
      </c>
      <c r="D4" s="1">
        <v>44614</v>
      </c>
      <c r="E4" s="2" t="s">
        <v>37</v>
      </c>
      <c r="F4" s="3" t="str">
        <f>HYPERLINK("https://maps.google.com/maps?q=4.83402,-75.67938&amp;ll=4.83402,-75.67938&amp;z=14.75z","Vía Santa Isabel II, Santa Isabel II, Comuna 4, Dosquebradas, Risaralda")</f>
        <v>Vía Santa Isabel II, Santa Isabel II, Comuna 4, Dosquebradas, Risaralda</v>
      </c>
      <c r="G4">
        <v>0</v>
      </c>
      <c r="H4">
        <v>138040</v>
      </c>
      <c r="I4">
        <v>-75.679379999999995</v>
      </c>
      <c r="J4">
        <v>4.8340199999999998</v>
      </c>
      <c r="K4" t="s">
        <v>19</v>
      </c>
      <c r="L4" s="1">
        <v>44614</v>
      </c>
      <c r="M4" s="2" t="s">
        <v>37</v>
      </c>
      <c r="N4" t="s">
        <v>20</v>
      </c>
      <c r="O4" t="s">
        <v>21</v>
      </c>
      <c r="P4" t="s">
        <v>22</v>
      </c>
    </row>
    <row r="5" spans="1:16" x14ac:dyDescent="0.25">
      <c r="A5" t="s">
        <v>16</v>
      </c>
      <c r="B5" t="s">
        <v>114</v>
      </c>
      <c r="C5" t="s">
        <v>186</v>
      </c>
      <c r="D5" s="1">
        <v>44614</v>
      </c>
      <c r="E5" s="2" t="s">
        <v>57</v>
      </c>
      <c r="F5" s="3" t="str">
        <f>HYPERLINK("https://maps.google.com/maps?q=4.83396,-75.67939&amp;ll=4.83396,-75.67939&amp;z=14.75z","Vía Santa Isabel II, Santa Isabel II, Comuna 4, Dosquebradas, Risaralda")</f>
        <v>Vía Santa Isabel II, Santa Isabel II, Comuna 4, Dosquebradas, Risaralda</v>
      </c>
      <c r="G5">
        <v>0</v>
      </c>
      <c r="H5">
        <v>138040</v>
      </c>
      <c r="I5">
        <v>-75.679389999999998</v>
      </c>
      <c r="J5">
        <v>4.8339600000000003</v>
      </c>
      <c r="K5" t="s">
        <v>19</v>
      </c>
      <c r="L5" s="1">
        <v>44614</v>
      </c>
      <c r="M5" s="2" t="s">
        <v>57</v>
      </c>
      <c r="N5" t="s">
        <v>20</v>
      </c>
      <c r="O5" t="s">
        <v>21</v>
      </c>
      <c r="P5" t="s">
        <v>22</v>
      </c>
    </row>
    <row r="6" spans="1:16" x14ac:dyDescent="0.25">
      <c r="A6" t="s">
        <v>16</v>
      </c>
      <c r="B6" t="s">
        <v>114</v>
      </c>
      <c r="C6" t="s">
        <v>186</v>
      </c>
      <c r="D6" s="1">
        <v>44614</v>
      </c>
      <c r="E6" s="2" t="s">
        <v>87</v>
      </c>
      <c r="F6" s="3" t="str">
        <f>HYPERLINK("https://maps.google.com/maps?q=4.83399,-75.67938&amp;ll=4.83399,-75.67938&amp;z=14.75z","Vía Santa Isabel II, Santa Isabel II, Comuna 4, Dosquebradas, Risaralda")</f>
        <v>Vía Santa Isabel II, Santa Isabel II, Comuna 4, Dosquebradas, Risaralda</v>
      </c>
      <c r="G6">
        <v>0</v>
      </c>
      <c r="H6">
        <v>138040</v>
      </c>
      <c r="I6">
        <v>-75.679379999999995</v>
      </c>
      <c r="J6">
        <v>4.83399</v>
      </c>
      <c r="K6" t="s">
        <v>19</v>
      </c>
      <c r="L6" s="1">
        <v>44614</v>
      </c>
      <c r="M6" s="2" t="s">
        <v>87</v>
      </c>
      <c r="N6" t="s">
        <v>20</v>
      </c>
      <c r="O6" t="s">
        <v>21</v>
      </c>
      <c r="P6" t="s">
        <v>22</v>
      </c>
    </row>
    <row r="7" spans="1:16" x14ac:dyDescent="0.25">
      <c r="A7" t="s">
        <v>16</v>
      </c>
      <c r="B7" t="s">
        <v>114</v>
      </c>
      <c r="C7" t="s">
        <v>186</v>
      </c>
      <c r="D7" s="1">
        <v>44614</v>
      </c>
      <c r="E7" s="2" t="s">
        <v>112</v>
      </c>
      <c r="F7" s="3" t="str">
        <f>HYPERLINK("https://maps.google.com/maps?q=4.83397,-75.67937&amp;ll=4.83397,-75.67937&amp;z=14.75z","Vía Santa Isabel II, Santa Isabel II, Comuna 4, Dosquebradas, Risaralda")</f>
        <v>Vía Santa Isabel II, Santa Isabel II, Comuna 4, Dosquebradas, Risaralda</v>
      </c>
      <c r="G7">
        <v>0</v>
      </c>
      <c r="H7">
        <v>138040</v>
      </c>
      <c r="I7">
        <v>-75.679370000000006</v>
      </c>
      <c r="J7">
        <v>4.8339699999999999</v>
      </c>
      <c r="K7" t="s">
        <v>23</v>
      </c>
      <c r="L7" s="1">
        <v>44614</v>
      </c>
      <c r="M7" s="2" t="s">
        <v>112</v>
      </c>
      <c r="N7" t="s">
        <v>20</v>
      </c>
      <c r="O7" t="s">
        <v>21</v>
      </c>
      <c r="P7" t="s">
        <v>22</v>
      </c>
    </row>
    <row r="8" spans="1:16" x14ac:dyDescent="0.25">
      <c r="A8" t="s">
        <v>16</v>
      </c>
      <c r="B8" t="s">
        <v>114</v>
      </c>
      <c r="C8" t="s">
        <v>193</v>
      </c>
      <c r="D8" s="1">
        <v>44614</v>
      </c>
      <c r="E8" s="2" t="s">
        <v>113</v>
      </c>
      <c r="F8" s="3" t="str">
        <f>HYPERLINK("https://maps.google.com/maps?q=4.83403,-75.6794&amp;ll=4.83403,-75.6794&amp;z=14.75z","Vía Santa Isabel II, Santa Isabel II, Comuna 4, Dosquebradas, Risaralda")</f>
        <v>Vía Santa Isabel II, Santa Isabel II, Comuna 4, Dosquebradas, Risaralda</v>
      </c>
      <c r="G8">
        <v>0</v>
      </c>
      <c r="H8">
        <v>138040</v>
      </c>
      <c r="I8">
        <v>-75.679400000000001</v>
      </c>
      <c r="J8">
        <v>4.8340300000000003</v>
      </c>
      <c r="K8" t="s">
        <v>23</v>
      </c>
      <c r="L8" s="1">
        <v>44614</v>
      </c>
      <c r="M8" s="2" t="s">
        <v>113</v>
      </c>
      <c r="N8" t="s">
        <v>20</v>
      </c>
      <c r="O8" t="s">
        <v>21</v>
      </c>
      <c r="P8" t="s">
        <v>22</v>
      </c>
    </row>
    <row r="9" spans="1:16" x14ac:dyDescent="0.25">
      <c r="A9" t="s">
        <v>16</v>
      </c>
      <c r="B9" t="s">
        <v>114</v>
      </c>
      <c r="C9" t="s">
        <v>186</v>
      </c>
      <c r="D9" s="1">
        <v>44614</v>
      </c>
      <c r="E9" s="2" t="s">
        <v>118</v>
      </c>
      <c r="F9" s="3" t="str">
        <f>HYPERLINK("https://maps.google.com/maps?q=4.834,-75.67939&amp;ll=4.834,-75.67939&amp;z=14.75z","Vía Santa Isabel II, Santa Isabel II, Comuna 4, Dosquebradas, Risaralda")</f>
        <v>Vía Santa Isabel II, Santa Isabel II, Comuna 4, Dosquebradas, Risaralda</v>
      </c>
      <c r="G9">
        <v>0</v>
      </c>
      <c r="H9">
        <v>138040</v>
      </c>
      <c r="I9">
        <v>-75.679389999999998</v>
      </c>
      <c r="J9">
        <v>4.8339999999999996</v>
      </c>
      <c r="K9" t="s">
        <v>23</v>
      </c>
      <c r="L9" s="1">
        <v>44614</v>
      </c>
      <c r="M9" s="2" t="s">
        <v>118</v>
      </c>
      <c r="N9" t="s">
        <v>20</v>
      </c>
      <c r="O9" t="s">
        <v>21</v>
      </c>
      <c r="P9" t="s">
        <v>22</v>
      </c>
    </row>
    <row r="10" spans="1:16" x14ac:dyDescent="0.25">
      <c r="A10" t="s">
        <v>16</v>
      </c>
      <c r="B10" t="s">
        <v>114</v>
      </c>
      <c r="C10" t="s">
        <v>193</v>
      </c>
      <c r="D10" s="1">
        <v>44614</v>
      </c>
      <c r="E10" s="2" t="s">
        <v>120</v>
      </c>
      <c r="F10" s="3" t="str">
        <f>HYPERLINK("https://maps.google.com/maps?q=4.834,-75.67944&amp;ll=4.834,-75.67944&amp;z=14.75z","Vía Santa Isabel II, Santa Isabel II, Comuna 4, Dosquebradas, Risaralda")</f>
        <v>Vía Santa Isabel II, Santa Isabel II, Comuna 4, Dosquebradas, Risaralda</v>
      </c>
      <c r="G10">
        <v>0</v>
      </c>
      <c r="H10">
        <v>138040</v>
      </c>
      <c r="I10">
        <v>-75.67944</v>
      </c>
      <c r="J10">
        <v>4.8339999999999996</v>
      </c>
      <c r="K10" t="s">
        <v>23</v>
      </c>
      <c r="L10" s="1">
        <v>44614</v>
      </c>
      <c r="M10" s="2" t="s">
        <v>120</v>
      </c>
      <c r="N10" t="s">
        <v>20</v>
      </c>
      <c r="O10" t="s">
        <v>21</v>
      </c>
      <c r="P10" t="s">
        <v>22</v>
      </c>
    </row>
    <row r="11" spans="1:16" x14ac:dyDescent="0.25">
      <c r="A11" t="s">
        <v>16</v>
      </c>
      <c r="B11" t="s">
        <v>114</v>
      </c>
      <c r="C11" t="s">
        <v>193</v>
      </c>
      <c r="D11" s="1">
        <v>44614</v>
      </c>
      <c r="E11" s="2" t="s">
        <v>121</v>
      </c>
      <c r="F11" s="3" t="str">
        <f>HYPERLINK("https://maps.google.com/maps?q=4.83401,-75.67939&amp;ll=4.83401,-75.67939&amp;z=14.75z","Vía Santa Isabel II, Santa Isabel II, Comuna 4, Dosquebradas, Risaralda")</f>
        <v>Vía Santa Isabel II, Santa Isabel II, Comuna 4, Dosquebradas, Risaralda</v>
      </c>
      <c r="G11">
        <v>0</v>
      </c>
      <c r="H11">
        <v>138040</v>
      </c>
      <c r="I11">
        <v>-75.679389999999998</v>
      </c>
      <c r="J11">
        <v>4.8340100000000001</v>
      </c>
      <c r="K11" t="s">
        <v>23</v>
      </c>
      <c r="L11" s="1">
        <v>44614</v>
      </c>
      <c r="M11" s="2" t="s">
        <v>121</v>
      </c>
      <c r="N11" t="s">
        <v>20</v>
      </c>
      <c r="O11" t="s">
        <v>21</v>
      </c>
      <c r="P11" t="s">
        <v>22</v>
      </c>
    </row>
    <row r="12" spans="1:16" x14ac:dyDescent="0.25">
      <c r="A12" t="s">
        <v>16</v>
      </c>
      <c r="B12" t="s">
        <v>114</v>
      </c>
      <c r="C12" t="s">
        <v>186</v>
      </c>
      <c r="D12" s="1">
        <v>44614</v>
      </c>
      <c r="E12" s="2" t="s">
        <v>122</v>
      </c>
      <c r="F12" s="3" t="str">
        <f>HYPERLINK("https://maps.google.com/maps?q=4.83401,-75.67939&amp;ll=4.83401,-75.67939&amp;z=14.75z","Vía Santa Isabel II, Santa Isabel II, Comuna 4, Dosquebradas, Risaralda")</f>
        <v>Vía Santa Isabel II, Santa Isabel II, Comuna 4, Dosquebradas, Risaralda</v>
      </c>
      <c r="G12">
        <v>0</v>
      </c>
      <c r="H12">
        <v>138040</v>
      </c>
      <c r="I12">
        <v>-75.679389999999998</v>
      </c>
      <c r="J12">
        <v>4.8340100000000001</v>
      </c>
      <c r="K12" t="s">
        <v>23</v>
      </c>
      <c r="L12" s="1">
        <v>44614</v>
      </c>
      <c r="M12" s="2" t="s">
        <v>122</v>
      </c>
      <c r="N12" t="s">
        <v>20</v>
      </c>
      <c r="O12" t="s">
        <v>21</v>
      </c>
      <c r="P12" t="s">
        <v>22</v>
      </c>
    </row>
    <row r="13" spans="1:16" x14ac:dyDescent="0.25">
      <c r="A13" t="s">
        <v>16</v>
      </c>
      <c r="B13" t="s">
        <v>114</v>
      </c>
      <c r="C13" t="s">
        <v>186</v>
      </c>
      <c r="D13" s="1">
        <v>44614</v>
      </c>
      <c r="E13" s="2" t="s">
        <v>124</v>
      </c>
      <c r="F13" s="3" t="str">
        <f>HYPERLINK("https://maps.google.com/maps?q=4.834,-75.67939&amp;ll=4.834,-75.67939&amp;z=14.75z","Vía Santa Isabel II, Santa Isabel II, Comuna 4, Dosquebradas, Risaralda")</f>
        <v>Vía Santa Isabel II, Santa Isabel II, Comuna 4, Dosquebradas, Risaralda</v>
      </c>
      <c r="G13">
        <v>0</v>
      </c>
      <c r="H13">
        <v>138040</v>
      </c>
      <c r="I13">
        <v>-75.679389999999998</v>
      </c>
      <c r="J13">
        <v>4.8339999999999996</v>
      </c>
      <c r="K13" t="s">
        <v>23</v>
      </c>
      <c r="L13" s="1">
        <v>44614</v>
      </c>
      <c r="M13" s="2" t="s">
        <v>124</v>
      </c>
      <c r="N13" t="s">
        <v>20</v>
      </c>
      <c r="O13" t="s">
        <v>21</v>
      </c>
      <c r="P13" t="s">
        <v>22</v>
      </c>
    </row>
    <row r="14" spans="1:16" x14ac:dyDescent="0.25">
      <c r="A14" t="s">
        <v>16</v>
      </c>
      <c r="B14" t="s">
        <v>114</v>
      </c>
      <c r="C14" t="s">
        <v>186</v>
      </c>
      <c r="D14" s="1">
        <v>44614</v>
      </c>
      <c r="E14" s="2" t="s">
        <v>127</v>
      </c>
      <c r="F14" s="3" t="str">
        <f>HYPERLINK("https://maps.google.com/maps?q=4.834,-75.67942&amp;ll=4.834,-75.67942&amp;z=14.75z","Vía Santa Isabel II, Santa Isabel II, Comuna 4, Dosquebradas, Risaralda")</f>
        <v>Vía Santa Isabel II, Santa Isabel II, Comuna 4, Dosquebradas, Risaralda</v>
      </c>
      <c r="G14">
        <v>0</v>
      </c>
      <c r="H14">
        <v>138040</v>
      </c>
      <c r="I14">
        <v>-75.679419999999993</v>
      </c>
      <c r="J14">
        <v>4.8339999999999996</v>
      </c>
      <c r="K14" t="s">
        <v>23</v>
      </c>
      <c r="L14" s="1">
        <v>44614</v>
      </c>
      <c r="M14" s="2" t="s">
        <v>127</v>
      </c>
      <c r="N14" t="s">
        <v>20</v>
      </c>
      <c r="O14" t="s">
        <v>21</v>
      </c>
      <c r="P14" t="s">
        <v>22</v>
      </c>
    </row>
    <row r="15" spans="1:16" x14ac:dyDescent="0.25">
      <c r="A15" t="s">
        <v>16</v>
      </c>
      <c r="B15" t="s">
        <v>114</v>
      </c>
      <c r="C15" t="s">
        <v>186</v>
      </c>
      <c r="D15" s="1">
        <v>44614</v>
      </c>
      <c r="E15" s="2" t="s">
        <v>131</v>
      </c>
      <c r="F15" s="3" t="str">
        <f t="shared" ref="F15:F23" si="0">HYPERLINK("https://maps.google.com/maps?q=4.83398,-75.67938&amp;ll=4.83398,-75.67938&amp;z=14.75z","Vía Santa Isabel II, Santa Isabel II, Comuna 4, Dosquebradas, Risaralda")</f>
        <v>Vía Santa Isabel II, Santa Isabel II, Comuna 4, Dosquebradas, Risaralda</v>
      </c>
      <c r="G15">
        <v>0</v>
      </c>
      <c r="H15">
        <v>138040</v>
      </c>
      <c r="I15">
        <v>-75.679379999999995</v>
      </c>
      <c r="J15">
        <v>4.8339800000000004</v>
      </c>
      <c r="K15" t="s">
        <v>23</v>
      </c>
      <c r="L15" s="1">
        <v>44614</v>
      </c>
      <c r="M15" s="2" t="s">
        <v>145</v>
      </c>
      <c r="N15" t="s">
        <v>20</v>
      </c>
      <c r="O15" t="s">
        <v>21</v>
      </c>
      <c r="P15" t="s">
        <v>22</v>
      </c>
    </row>
    <row r="16" spans="1:16" x14ac:dyDescent="0.25">
      <c r="A16" t="s">
        <v>16</v>
      </c>
      <c r="B16" t="s">
        <v>94</v>
      </c>
      <c r="C16" t="s">
        <v>116</v>
      </c>
      <c r="D16" s="1">
        <v>44614</v>
      </c>
      <c r="E16" s="2" t="s">
        <v>132</v>
      </c>
      <c r="F16" s="3" t="str">
        <f t="shared" si="0"/>
        <v>Vía Santa Isabel II, Santa Isabel II, Comuna 4, Dosquebradas, Risaralda</v>
      </c>
      <c r="G16">
        <v>0</v>
      </c>
      <c r="H16">
        <v>138040</v>
      </c>
      <c r="I16">
        <v>-75.679379999999995</v>
      </c>
      <c r="J16">
        <v>4.8339800000000004</v>
      </c>
      <c r="K16" t="s">
        <v>23</v>
      </c>
      <c r="L16" s="1">
        <v>44614</v>
      </c>
      <c r="M16" s="2" t="s">
        <v>145</v>
      </c>
      <c r="N16" t="s">
        <v>20</v>
      </c>
      <c r="O16" t="s">
        <v>21</v>
      </c>
      <c r="P16" t="s">
        <v>22</v>
      </c>
    </row>
    <row r="17" spans="1:16" x14ac:dyDescent="0.25">
      <c r="A17" t="s">
        <v>16</v>
      </c>
      <c r="B17" t="s">
        <v>94</v>
      </c>
      <c r="C17" t="s">
        <v>18</v>
      </c>
      <c r="D17" s="1">
        <v>44614</v>
      </c>
      <c r="E17" s="2" t="s">
        <v>133</v>
      </c>
      <c r="F17" s="3" t="str">
        <f t="shared" si="0"/>
        <v>Vía Santa Isabel II, Santa Isabel II, Comuna 4, Dosquebradas, Risaralda</v>
      </c>
      <c r="G17">
        <v>0</v>
      </c>
      <c r="H17">
        <v>138040</v>
      </c>
      <c r="I17">
        <v>-75.679379999999995</v>
      </c>
      <c r="J17">
        <v>4.8339800000000004</v>
      </c>
      <c r="K17" t="s">
        <v>23</v>
      </c>
      <c r="L17" s="1">
        <v>44614</v>
      </c>
      <c r="M17" s="2" t="s">
        <v>145</v>
      </c>
      <c r="N17" t="s">
        <v>20</v>
      </c>
      <c r="O17" t="s">
        <v>21</v>
      </c>
      <c r="P17" t="s">
        <v>22</v>
      </c>
    </row>
    <row r="18" spans="1:16" x14ac:dyDescent="0.25">
      <c r="A18" t="s">
        <v>16</v>
      </c>
      <c r="B18" t="s">
        <v>94</v>
      </c>
      <c r="C18" t="s">
        <v>18</v>
      </c>
      <c r="D18" s="1">
        <v>44614</v>
      </c>
      <c r="E18" s="2" t="s">
        <v>134</v>
      </c>
      <c r="F18" s="3" t="str">
        <f t="shared" si="0"/>
        <v>Vía Santa Isabel II, Santa Isabel II, Comuna 4, Dosquebradas, Risaralda</v>
      </c>
      <c r="G18">
        <v>0</v>
      </c>
      <c r="H18">
        <v>138040</v>
      </c>
      <c r="I18">
        <v>-75.679379999999995</v>
      </c>
      <c r="J18">
        <v>4.8339800000000004</v>
      </c>
      <c r="K18" t="s">
        <v>23</v>
      </c>
      <c r="L18" s="1">
        <v>44614</v>
      </c>
      <c r="M18" s="2" t="s">
        <v>145</v>
      </c>
      <c r="N18" t="s">
        <v>20</v>
      </c>
      <c r="O18" t="s">
        <v>21</v>
      </c>
      <c r="P18" t="s">
        <v>22</v>
      </c>
    </row>
    <row r="19" spans="1:16" x14ac:dyDescent="0.25">
      <c r="A19" t="s">
        <v>16</v>
      </c>
      <c r="B19" t="s">
        <v>94</v>
      </c>
      <c r="C19" t="s">
        <v>18</v>
      </c>
      <c r="D19" s="1">
        <v>44614</v>
      </c>
      <c r="E19" s="2" t="s">
        <v>135</v>
      </c>
      <c r="F19" s="3" t="str">
        <f t="shared" si="0"/>
        <v>Vía Santa Isabel II, Santa Isabel II, Comuna 4, Dosquebradas, Risaralda</v>
      </c>
      <c r="G19">
        <v>0</v>
      </c>
      <c r="H19">
        <v>138040</v>
      </c>
      <c r="I19">
        <v>-75.679379999999995</v>
      </c>
      <c r="J19">
        <v>4.8339800000000004</v>
      </c>
      <c r="K19" t="s">
        <v>23</v>
      </c>
      <c r="L19" s="1">
        <v>44614</v>
      </c>
      <c r="M19" s="2" t="s">
        <v>145</v>
      </c>
      <c r="N19" t="s">
        <v>20</v>
      </c>
      <c r="O19" t="s">
        <v>21</v>
      </c>
      <c r="P19" t="s">
        <v>22</v>
      </c>
    </row>
    <row r="20" spans="1:16" x14ac:dyDescent="0.25">
      <c r="A20" t="s">
        <v>16</v>
      </c>
      <c r="B20" t="s">
        <v>94</v>
      </c>
      <c r="C20" t="s">
        <v>18</v>
      </c>
      <c r="D20" s="1">
        <v>44614</v>
      </c>
      <c r="E20" s="2" t="s">
        <v>136</v>
      </c>
      <c r="F20" s="3" t="str">
        <f t="shared" si="0"/>
        <v>Vía Santa Isabel II, Santa Isabel II, Comuna 4, Dosquebradas, Risaralda</v>
      </c>
      <c r="G20">
        <v>0</v>
      </c>
      <c r="H20">
        <v>138040</v>
      </c>
      <c r="I20">
        <v>-75.679379999999995</v>
      </c>
      <c r="J20">
        <v>4.8339800000000004</v>
      </c>
      <c r="K20" t="s">
        <v>23</v>
      </c>
      <c r="L20" s="1">
        <v>44614</v>
      </c>
      <c r="M20" s="2" t="s">
        <v>146</v>
      </c>
      <c r="N20" t="s">
        <v>20</v>
      </c>
      <c r="O20" t="s">
        <v>21</v>
      </c>
      <c r="P20" t="s">
        <v>22</v>
      </c>
    </row>
    <row r="21" spans="1:16" x14ac:dyDescent="0.25">
      <c r="A21" t="s">
        <v>16</v>
      </c>
      <c r="B21" t="s">
        <v>94</v>
      </c>
      <c r="C21" t="s">
        <v>18</v>
      </c>
      <c r="D21" s="1">
        <v>44614</v>
      </c>
      <c r="E21" s="2" t="s">
        <v>137</v>
      </c>
      <c r="F21" s="3" t="str">
        <f t="shared" si="0"/>
        <v>Vía Santa Isabel II, Santa Isabel II, Comuna 4, Dosquebradas, Risaralda</v>
      </c>
      <c r="G21">
        <v>0</v>
      </c>
      <c r="H21">
        <v>138040</v>
      </c>
      <c r="I21">
        <v>-75.679379999999995</v>
      </c>
      <c r="J21">
        <v>4.8339800000000004</v>
      </c>
      <c r="K21" t="s">
        <v>23</v>
      </c>
      <c r="L21" s="1">
        <v>44614</v>
      </c>
      <c r="M21" s="2" t="s">
        <v>147</v>
      </c>
      <c r="N21" t="s">
        <v>20</v>
      </c>
      <c r="O21" t="s">
        <v>21</v>
      </c>
      <c r="P21" t="s">
        <v>22</v>
      </c>
    </row>
    <row r="22" spans="1:16" x14ac:dyDescent="0.25">
      <c r="A22" t="s">
        <v>16</v>
      </c>
      <c r="B22" t="s">
        <v>94</v>
      </c>
      <c r="C22" t="s">
        <v>18</v>
      </c>
      <c r="D22" s="1">
        <v>44614</v>
      </c>
      <c r="E22" s="2" t="s">
        <v>138</v>
      </c>
      <c r="F22" s="3" t="str">
        <f t="shared" si="0"/>
        <v>Vía Santa Isabel II, Santa Isabel II, Comuna 4, Dosquebradas, Risaralda</v>
      </c>
      <c r="G22">
        <v>0</v>
      </c>
      <c r="H22">
        <v>138040</v>
      </c>
      <c r="I22">
        <v>-75.679379999999995</v>
      </c>
      <c r="J22">
        <v>4.8339800000000004</v>
      </c>
      <c r="K22" t="s">
        <v>23</v>
      </c>
      <c r="L22" s="1">
        <v>44614</v>
      </c>
      <c r="M22" s="2" t="s">
        <v>148</v>
      </c>
      <c r="N22" t="s">
        <v>20</v>
      </c>
      <c r="O22" t="s">
        <v>21</v>
      </c>
      <c r="P22" t="s">
        <v>22</v>
      </c>
    </row>
    <row r="23" spans="1:16" x14ac:dyDescent="0.25">
      <c r="A23" t="s">
        <v>16</v>
      </c>
      <c r="B23" t="s">
        <v>94</v>
      </c>
      <c r="C23" t="s">
        <v>18</v>
      </c>
      <c r="D23" s="1">
        <v>44614</v>
      </c>
      <c r="E23" s="2" t="s">
        <v>139</v>
      </c>
      <c r="F23" s="3" t="str">
        <f t="shared" si="0"/>
        <v>Vía Santa Isabel II, Santa Isabel II, Comuna 4, Dosquebradas, Risaralda</v>
      </c>
      <c r="G23">
        <v>0</v>
      </c>
      <c r="H23">
        <v>138040</v>
      </c>
      <c r="I23">
        <v>-75.679379999999995</v>
      </c>
      <c r="J23">
        <v>4.8339800000000004</v>
      </c>
      <c r="K23" t="s">
        <v>23</v>
      </c>
      <c r="L23" s="1">
        <v>44614</v>
      </c>
      <c r="M23" s="2" t="s">
        <v>148</v>
      </c>
      <c r="N23" t="s">
        <v>20</v>
      </c>
      <c r="O23" t="s">
        <v>21</v>
      </c>
      <c r="P23" t="s">
        <v>22</v>
      </c>
    </row>
    <row r="24" spans="1:16" x14ac:dyDescent="0.25">
      <c r="A24" t="s">
        <v>16</v>
      </c>
      <c r="B24" t="s">
        <v>94</v>
      </c>
      <c r="C24" t="s">
        <v>18</v>
      </c>
      <c r="D24" s="1">
        <v>44614</v>
      </c>
      <c r="E24" s="2" t="s">
        <v>140</v>
      </c>
      <c r="F24" s="3" t="str">
        <f>HYPERLINK("https://maps.google.com/maps?q=4.83399,-75.67938&amp;ll=4.83399,-75.67938&amp;z=14.75z","Vía Santa Isabel II, Santa Isabel II, Comuna 4, Dosquebradas, Risaralda")</f>
        <v>Vía Santa Isabel II, Santa Isabel II, Comuna 4, Dosquebradas, Risaralda</v>
      </c>
      <c r="G24">
        <v>0</v>
      </c>
      <c r="H24">
        <v>138040</v>
      </c>
      <c r="I24">
        <v>-75.679379999999995</v>
      </c>
      <c r="J24">
        <v>4.83399</v>
      </c>
      <c r="K24" t="s">
        <v>23</v>
      </c>
      <c r="L24" s="1">
        <v>44614</v>
      </c>
      <c r="M24" s="2" t="s">
        <v>148</v>
      </c>
      <c r="N24" t="s">
        <v>20</v>
      </c>
      <c r="O24" t="s">
        <v>21</v>
      </c>
      <c r="P24" t="s">
        <v>22</v>
      </c>
    </row>
    <row r="25" spans="1:16" x14ac:dyDescent="0.25">
      <c r="A25" t="s">
        <v>16</v>
      </c>
      <c r="B25" t="s">
        <v>94</v>
      </c>
      <c r="C25" t="s">
        <v>18</v>
      </c>
      <c r="D25" s="1">
        <v>44614</v>
      </c>
      <c r="E25" s="2" t="s">
        <v>141</v>
      </c>
      <c r="F25" s="3" t="str">
        <f>HYPERLINK("https://maps.google.com/maps?q=4.83399,-75.67939&amp;ll=4.83399,-75.67939&amp;z=14.75z","Vía Santa Isabel II, Santa Isabel II, Comuna 4, Dosquebradas, Risaralda")</f>
        <v>Vía Santa Isabel II, Santa Isabel II, Comuna 4, Dosquebradas, Risaralda</v>
      </c>
      <c r="G25">
        <v>0</v>
      </c>
      <c r="H25">
        <v>138040</v>
      </c>
      <c r="I25">
        <v>-75.679389999999998</v>
      </c>
      <c r="J25">
        <v>4.83399</v>
      </c>
      <c r="K25" t="s">
        <v>23</v>
      </c>
      <c r="L25" s="1">
        <v>44614</v>
      </c>
      <c r="M25" s="2" t="s">
        <v>148</v>
      </c>
      <c r="N25" t="s">
        <v>20</v>
      </c>
      <c r="O25" t="s">
        <v>21</v>
      </c>
      <c r="P25" t="s">
        <v>22</v>
      </c>
    </row>
    <row r="26" spans="1:16" x14ac:dyDescent="0.25">
      <c r="A26" t="s">
        <v>16</v>
      </c>
      <c r="B26" t="s">
        <v>94</v>
      </c>
      <c r="C26" t="s">
        <v>18</v>
      </c>
      <c r="D26" s="1">
        <v>44614</v>
      </c>
      <c r="E26" s="2" t="s">
        <v>142</v>
      </c>
      <c r="F26" s="3" t="str">
        <f>HYPERLINK("https://maps.google.com/maps?q=4.83399,-75.67939&amp;ll=4.83399,-75.67939&amp;z=14.75z","Vía Santa Isabel II, Santa Isabel II, Comuna 4, Dosquebradas, Risaralda")</f>
        <v>Vía Santa Isabel II, Santa Isabel II, Comuna 4, Dosquebradas, Risaralda</v>
      </c>
      <c r="G26">
        <v>0</v>
      </c>
      <c r="H26">
        <v>138040</v>
      </c>
      <c r="I26">
        <v>-75.679389999999998</v>
      </c>
      <c r="J26">
        <v>4.83399</v>
      </c>
      <c r="K26" t="s">
        <v>23</v>
      </c>
      <c r="L26" s="1">
        <v>44614</v>
      </c>
      <c r="M26" s="2" t="s">
        <v>149</v>
      </c>
      <c r="N26" t="s">
        <v>20</v>
      </c>
      <c r="O26" t="s">
        <v>21</v>
      </c>
      <c r="P26" t="s">
        <v>22</v>
      </c>
    </row>
    <row r="27" spans="1:16" x14ac:dyDescent="0.25">
      <c r="A27" t="s">
        <v>16</v>
      </c>
      <c r="B27" t="s">
        <v>94</v>
      </c>
      <c r="C27" t="s">
        <v>18</v>
      </c>
      <c r="D27" s="1">
        <v>44614</v>
      </c>
      <c r="E27" s="2" t="s">
        <v>142</v>
      </c>
      <c r="F27" s="3" t="str">
        <f>HYPERLINK("https://maps.google.com/maps?q=4.83399,-75.67939&amp;ll=4.83399,-75.67939&amp;z=14.75z","Vía Santa Isabel II, Santa Isabel II, Comuna 4, Dosquebradas, Risaralda")</f>
        <v>Vía Santa Isabel II, Santa Isabel II, Comuna 4, Dosquebradas, Risaralda</v>
      </c>
      <c r="G27">
        <v>0</v>
      </c>
      <c r="H27">
        <v>138040</v>
      </c>
      <c r="I27">
        <v>-75.679389999999998</v>
      </c>
      <c r="J27">
        <v>4.83399</v>
      </c>
      <c r="K27" t="s">
        <v>23</v>
      </c>
      <c r="L27" s="1">
        <v>44614</v>
      </c>
      <c r="M27" s="2" t="s">
        <v>149</v>
      </c>
      <c r="N27" t="s">
        <v>20</v>
      </c>
      <c r="O27" t="s">
        <v>21</v>
      </c>
      <c r="P27" t="s">
        <v>22</v>
      </c>
    </row>
    <row r="28" spans="1:16" x14ac:dyDescent="0.25">
      <c r="A28" t="s">
        <v>16</v>
      </c>
      <c r="B28" t="s">
        <v>94</v>
      </c>
      <c r="C28" t="s">
        <v>18</v>
      </c>
      <c r="D28" s="1">
        <v>44614</v>
      </c>
      <c r="E28" s="2" t="s">
        <v>143</v>
      </c>
      <c r="F28" s="3" t="str">
        <f>HYPERLINK("https://maps.google.com/maps?q=4.83379,-75.67912&amp;ll=4.83379,-75.67912&amp;z=14.75z","Cra 10, 25, Santa Isabel II, Comuna 4, Dosquebradas, Risaralda")</f>
        <v>Cra 10, 25, Santa Isabel II, Comuna 4, Dosquebradas, Risaralda</v>
      </c>
      <c r="G28">
        <v>0</v>
      </c>
      <c r="H28">
        <v>138040</v>
      </c>
      <c r="I28">
        <v>-75.679119999999998</v>
      </c>
      <c r="J28">
        <v>4.8337899999999996</v>
      </c>
      <c r="K28" t="s">
        <v>33</v>
      </c>
      <c r="L28" s="1">
        <v>44614</v>
      </c>
      <c r="M28" s="2" t="s">
        <v>149</v>
      </c>
      <c r="N28" t="s">
        <v>20</v>
      </c>
      <c r="O28" t="s">
        <v>21</v>
      </c>
      <c r="P28" t="s">
        <v>22</v>
      </c>
    </row>
    <row r="29" spans="1:16" x14ac:dyDescent="0.25">
      <c r="A29" t="s">
        <v>16</v>
      </c>
      <c r="B29" t="s">
        <v>17</v>
      </c>
      <c r="C29" t="s">
        <v>18</v>
      </c>
      <c r="D29" s="1">
        <v>44614</v>
      </c>
      <c r="E29" s="2" t="s">
        <v>144</v>
      </c>
      <c r="F29" s="3" t="str">
        <f>HYPERLINK("https://maps.google.com/maps?q=4.83232,-75.68028&amp;ll=4.83232,-75.68028&amp;z=14.75z","Cra 10, 25, Santa Isabel II, Comuna 4, Dosquebradas, Risaralda")</f>
        <v>Cra 10, 25, Santa Isabel II, Comuna 4, Dosquebradas, Risaralda</v>
      </c>
      <c r="G29">
        <v>16</v>
      </c>
      <c r="H29">
        <v>138040</v>
      </c>
      <c r="I29">
        <v>-75.680279999999996</v>
      </c>
      <c r="J29">
        <v>4.8323200000000002</v>
      </c>
      <c r="K29" t="s">
        <v>30</v>
      </c>
      <c r="L29" s="1">
        <v>44614</v>
      </c>
      <c r="M29" s="2" t="s">
        <v>149</v>
      </c>
      <c r="N29" t="s">
        <v>20</v>
      </c>
      <c r="O29" t="s">
        <v>21</v>
      </c>
      <c r="P29" t="s">
        <v>22</v>
      </c>
    </row>
    <row r="30" spans="1:16" x14ac:dyDescent="0.25">
      <c r="A30" t="s">
        <v>16</v>
      </c>
      <c r="B30" t="s">
        <v>17</v>
      </c>
      <c r="C30" t="s">
        <v>18</v>
      </c>
      <c r="D30" s="1">
        <v>44614</v>
      </c>
      <c r="E30" s="2" t="s">
        <v>145</v>
      </c>
      <c r="F30" s="3" t="str">
        <f>HYPERLINK("https://maps.google.com/maps?q=4.83237,-75.67989&amp;ll=4.83237,-75.67989&amp;z=14.75z","Cra 10, 25, La Carmelita, Comuna 4, Dosquebradas, Risaralda")</f>
        <v>Cra 10, 25, La Carmelita, Comuna 4, Dosquebradas, Risaralda</v>
      </c>
      <c r="G30">
        <v>35</v>
      </c>
      <c r="H30">
        <v>138041</v>
      </c>
      <c r="I30">
        <v>-75.67989</v>
      </c>
      <c r="J30">
        <v>4.8323700000000001</v>
      </c>
      <c r="K30" t="s">
        <v>24</v>
      </c>
      <c r="L30" s="1">
        <v>44614</v>
      </c>
      <c r="M30" s="2" t="s">
        <v>149</v>
      </c>
      <c r="N30" t="s">
        <v>20</v>
      </c>
      <c r="O30" t="s">
        <v>21</v>
      </c>
      <c r="P30" t="s">
        <v>22</v>
      </c>
    </row>
    <row r="31" spans="1:16" x14ac:dyDescent="0.25">
      <c r="A31" t="s">
        <v>16</v>
      </c>
      <c r="B31" t="s">
        <v>17</v>
      </c>
      <c r="C31" t="s">
        <v>18</v>
      </c>
      <c r="D31" s="1">
        <v>44614</v>
      </c>
      <c r="E31" s="2" t="s">
        <v>146</v>
      </c>
      <c r="F31" s="3" t="str">
        <f>HYPERLINK("https://maps.google.com/maps?q=4.8357,-75.67754&amp;ll=4.8357,-75.67754&amp;z=14.75z","Vía Nestlé, La Carmelita, Comuna 4, Dosquebradas, Risaralda")</f>
        <v>Vía Nestlé, La Carmelita, Comuna 4, Dosquebradas, Risaralda</v>
      </c>
      <c r="G31">
        <v>43</v>
      </c>
      <c r="H31">
        <v>138041</v>
      </c>
      <c r="I31">
        <v>-75.677539999999993</v>
      </c>
      <c r="J31">
        <v>4.8357000000000001</v>
      </c>
      <c r="K31" t="s">
        <v>24</v>
      </c>
      <c r="L31" s="1">
        <v>44614</v>
      </c>
      <c r="M31" s="2" t="s">
        <v>150</v>
      </c>
      <c r="N31" t="s">
        <v>20</v>
      </c>
      <c r="O31" t="s">
        <v>21</v>
      </c>
      <c r="P31" t="s">
        <v>22</v>
      </c>
    </row>
    <row r="32" spans="1:16" x14ac:dyDescent="0.25">
      <c r="A32" t="s">
        <v>16</v>
      </c>
      <c r="B32" t="s">
        <v>17</v>
      </c>
      <c r="C32" t="s">
        <v>18</v>
      </c>
      <c r="D32" s="1">
        <v>44614</v>
      </c>
      <c r="E32" s="2" t="s">
        <v>147</v>
      </c>
      <c r="F32" s="3" t="str">
        <f>HYPERLINK("https://maps.google.com/maps?q=4.8381,-75.67589&amp;ll=4.8381,-75.67589&amp;z=14.75z","Cra 10, 33, San Nicolás, Comuna 12, Dosquebradas, Risaralda")</f>
        <v>Cra 10, 33, San Nicolás, Comuna 12, Dosquebradas, Risaralda</v>
      </c>
      <c r="G32">
        <v>23</v>
      </c>
      <c r="H32">
        <v>138041</v>
      </c>
      <c r="I32">
        <v>-75.675889999999995</v>
      </c>
      <c r="J32">
        <v>4.8380999999999998</v>
      </c>
      <c r="K32" t="s">
        <v>24</v>
      </c>
      <c r="L32" s="1">
        <v>44614</v>
      </c>
      <c r="M32" s="2" t="s">
        <v>150</v>
      </c>
      <c r="N32" t="s">
        <v>20</v>
      </c>
      <c r="O32" t="s">
        <v>21</v>
      </c>
      <c r="P32" t="s">
        <v>22</v>
      </c>
    </row>
    <row r="33" spans="1:16" x14ac:dyDescent="0.25">
      <c r="A33" t="s">
        <v>16</v>
      </c>
      <c r="B33" t="s">
        <v>17</v>
      </c>
      <c r="C33" t="s">
        <v>18</v>
      </c>
      <c r="D33" s="1">
        <v>44614</v>
      </c>
      <c r="E33" s="2" t="s">
        <v>148</v>
      </c>
      <c r="F33" s="3" t="str">
        <f>HYPERLINK("https://maps.google.com/maps?q=4.84117,-75.67358&amp;ll=4.84117,-75.67358&amp;z=14.75z","Cra 10, 42A, Playa Rica, Comuna 6, Dosquebradas, Risaralda")</f>
        <v>Cra 10, 42A, Playa Rica, Comuna 6, Dosquebradas, Risaralda</v>
      </c>
      <c r="G33">
        <v>23</v>
      </c>
      <c r="H33">
        <v>138042</v>
      </c>
      <c r="I33">
        <v>-75.673580000000001</v>
      </c>
      <c r="J33">
        <v>4.84117</v>
      </c>
      <c r="K33" t="s">
        <v>24</v>
      </c>
      <c r="L33" s="1">
        <v>44614</v>
      </c>
      <c r="M33" s="2" t="s">
        <v>151</v>
      </c>
      <c r="N33" t="s">
        <v>20</v>
      </c>
      <c r="O33" t="s">
        <v>21</v>
      </c>
      <c r="P33" t="s">
        <v>22</v>
      </c>
    </row>
    <row r="34" spans="1:16" x14ac:dyDescent="0.25">
      <c r="A34" t="s">
        <v>16</v>
      </c>
      <c r="B34" t="s">
        <v>17</v>
      </c>
      <c r="C34" t="s">
        <v>18</v>
      </c>
      <c r="D34" s="1">
        <v>44614</v>
      </c>
      <c r="E34" s="2" t="s">
        <v>149</v>
      </c>
      <c r="F34" s="3" t="str">
        <f>HYPERLINK("https://maps.google.com/maps?q=4.84454,-75.67113&amp;ll=4.84454,-75.67113&amp;z=14.75z","Cra 10, 49, Guayacanes, Comuna 6, Dosquebradas, Risaralda")</f>
        <v>Cra 10, 49, Guayacanes, Comuna 6, Dosquebradas, Risaralda</v>
      </c>
      <c r="G34">
        <v>28</v>
      </c>
      <c r="H34">
        <v>138042</v>
      </c>
      <c r="I34">
        <v>-75.671130000000005</v>
      </c>
      <c r="J34">
        <v>4.8445400000000003</v>
      </c>
      <c r="K34" t="s">
        <v>24</v>
      </c>
      <c r="L34" s="1">
        <v>44614</v>
      </c>
      <c r="M34" s="2" t="s">
        <v>151</v>
      </c>
      <c r="N34" t="s">
        <v>20</v>
      </c>
      <c r="O34" t="s">
        <v>21</v>
      </c>
      <c r="P34" t="s">
        <v>22</v>
      </c>
    </row>
    <row r="35" spans="1:16" x14ac:dyDescent="0.25">
      <c r="A35" t="s">
        <v>16</v>
      </c>
      <c r="B35" t="s">
        <v>17</v>
      </c>
      <c r="C35" t="s">
        <v>18</v>
      </c>
      <c r="D35" s="1">
        <v>44614</v>
      </c>
      <c r="E35" s="2" t="s">
        <v>150</v>
      </c>
      <c r="F35" s="3" t="str">
        <f>HYPERLINK("https://maps.google.com/maps?q=4.84748,-75.66903&amp;ll=4.84748,-75.66903&amp;z=14.75z","Cra 10, 66, Villa del Campo, Comuna 10, Dosquebradas, Risaralda")</f>
        <v>Cra 10, 66, Villa del Campo, Comuna 10, Dosquebradas, Risaralda</v>
      </c>
      <c r="G35">
        <v>29</v>
      </c>
      <c r="H35">
        <v>138043</v>
      </c>
      <c r="I35">
        <v>-75.669030000000006</v>
      </c>
      <c r="J35">
        <v>4.84748</v>
      </c>
      <c r="K35" t="s">
        <v>24</v>
      </c>
      <c r="L35" s="1">
        <v>44614</v>
      </c>
      <c r="M35" s="2" t="s">
        <v>151</v>
      </c>
      <c r="N35" t="s">
        <v>20</v>
      </c>
      <c r="O35" t="s">
        <v>21</v>
      </c>
      <c r="P35" t="s">
        <v>22</v>
      </c>
    </row>
    <row r="36" spans="1:16" x14ac:dyDescent="0.25">
      <c r="A36" t="s">
        <v>16</v>
      </c>
      <c r="B36" t="s">
        <v>17</v>
      </c>
      <c r="C36" t="s">
        <v>18</v>
      </c>
      <c r="D36" s="1">
        <v>44614</v>
      </c>
      <c r="E36" s="2" t="s">
        <v>151</v>
      </c>
      <c r="F36" s="3" t="str">
        <f>HYPERLINK("https://maps.google.com/maps?q=4.84878,-75.66581&amp;ll=4.84878,-75.66581&amp;z=14.75z","Troncal Pereira - Dosquebradas, , Comuna 10, Dosquebradas, Risaralda")</f>
        <v>Troncal Pereira - Dosquebradas, , Comuna 10, Dosquebradas, Risaralda</v>
      </c>
      <c r="G36">
        <v>25</v>
      </c>
      <c r="H36">
        <v>138043</v>
      </c>
      <c r="I36">
        <v>-75.665809999999993</v>
      </c>
      <c r="J36">
        <v>4.8487799999999996</v>
      </c>
      <c r="K36" t="s">
        <v>29</v>
      </c>
      <c r="L36" s="1">
        <v>44614</v>
      </c>
      <c r="M36" s="2" t="s">
        <v>152</v>
      </c>
      <c r="N36" t="s">
        <v>20</v>
      </c>
      <c r="O36" t="s">
        <v>21</v>
      </c>
      <c r="P36" t="s">
        <v>22</v>
      </c>
    </row>
    <row r="37" spans="1:16" x14ac:dyDescent="0.25">
      <c r="A37" t="s">
        <v>16</v>
      </c>
      <c r="B37" t="s">
        <v>17</v>
      </c>
      <c r="C37" t="s">
        <v>18</v>
      </c>
      <c r="D37" s="1">
        <v>44614</v>
      </c>
      <c r="E37" s="2" t="s">
        <v>152</v>
      </c>
      <c r="F37" s="3" t="str">
        <f>HYPERLINK("https://maps.google.com/maps?q=4.84868,-75.67009&amp;ll=4.84868,-75.67009&amp;z=14.75z","Vte Romelia El Pollo, Km 12.88 Mercasa - Estadio, , Comuna 10, Dosquebradas, Risaralda")</f>
        <v>Vte Romelia El Pollo, Km 12.88 Mercasa - Estadio, , Comuna 10, Dosquebradas, Risaralda</v>
      </c>
      <c r="G37">
        <v>46</v>
      </c>
      <c r="H37">
        <v>138044</v>
      </c>
      <c r="I37">
        <v>-75.670090000000002</v>
      </c>
      <c r="J37">
        <v>4.8486799999999999</v>
      </c>
      <c r="K37" t="s">
        <v>30</v>
      </c>
      <c r="L37" s="1">
        <v>44614</v>
      </c>
      <c r="M37" s="2" t="s">
        <v>152</v>
      </c>
      <c r="N37" t="s">
        <v>20</v>
      </c>
      <c r="O37" t="s">
        <v>21</v>
      </c>
      <c r="P37" t="s">
        <v>22</v>
      </c>
    </row>
    <row r="38" spans="1:16" x14ac:dyDescent="0.25">
      <c r="A38" t="s">
        <v>16</v>
      </c>
      <c r="B38" t="s">
        <v>17</v>
      </c>
      <c r="C38" t="s">
        <v>18</v>
      </c>
      <c r="D38" s="1">
        <v>44614</v>
      </c>
      <c r="E38" s="2" t="s">
        <v>154</v>
      </c>
      <c r="F38" s="3" t="str">
        <f>HYPERLINK("https://maps.google.com/maps?q=4.84433,-75.67509&amp;ll=4.84433,-75.67509&amp;z=14.75z","Vte Romelia El Pollo, Km 11.96 Mercasa - Estadio, , Comuna 6, Dosquebradas, Risaralda")</f>
        <v>Vte Romelia El Pollo, Km 11.96 Mercasa - Estadio, , Comuna 6, Dosquebradas, Risaralda</v>
      </c>
      <c r="G38">
        <v>28</v>
      </c>
      <c r="H38">
        <v>138044</v>
      </c>
      <c r="I38">
        <v>-75.675089999999997</v>
      </c>
      <c r="J38">
        <v>4.8443300000000002</v>
      </c>
      <c r="K38" t="s">
        <v>30</v>
      </c>
      <c r="L38" s="1">
        <v>44614</v>
      </c>
      <c r="M38" s="2" t="s">
        <v>155</v>
      </c>
      <c r="N38" t="s">
        <v>20</v>
      </c>
      <c r="O38" t="s">
        <v>21</v>
      </c>
      <c r="P38" t="s">
        <v>22</v>
      </c>
    </row>
    <row r="39" spans="1:16" x14ac:dyDescent="0.25">
      <c r="A39" t="s">
        <v>16</v>
      </c>
      <c r="B39" t="s">
        <v>17</v>
      </c>
      <c r="C39" t="s">
        <v>18</v>
      </c>
      <c r="D39" s="1">
        <v>44614</v>
      </c>
      <c r="E39" s="2" t="s">
        <v>155</v>
      </c>
      <c r="F39" s="3" t="str">
        <f>HYPERLINK("https://maps.google.com/maps?q=4.84159,-75.67919&amp;ll=4.84159,-75.67919&amp;z=14.75z","Vte Romelia El Pollo, Km 11.59 Mercasa - Estadio, , Santana, Dosquebradas, Risaralda")</f>
        <v>Vte Romelia El Pollo, Km 11.59 Mercasa - Estadio, , Santana, Dosquebradas, Risaralda</v>
      </c>
      <c r="G39">
        <v>53</v>
      </c>
      <c r="H39">
        <v>138045</v>
      </c>
      <c r="I39">
        <v>-75.679190000000006</v>
      </c>
      <c r="J39">
        <v>4.8415900000000001</v>
      </c>
      <c r="K39" t="s">
        <v>30</v>
      </c>
      <c r="L39" s="1">
        <v>44614</v>
      </c>
      <c r="M39" s="2" t="s">
        <v>155</v>
      </c>
      <c r="N39" t="s">
        <v>20</v>
      </c>
      <c r="O39" t="s">
        <v>21</v>
      </c>
      <c r="P39" t="s">
        <v>22</v>
      </c>
    </row>
    <row r="40" spans="1:16" x14ac:dyDescent="0.25">
      <c r="A40" t="s">
        <v>16</v>
      </c>
      <c r="B40" t="s">
        <v>17</v>
      </c>
      <c r="C40" t="s">
        <v>18</v>
      </c>
      <c r="D40" s="1">
        <v>44614</v>
      </c>
      <c r="E40" s="2" t="s">
        <v>156</v>
      </c>
      <c r="F40" s="3" t="str">
        <f>HYPERLINK("https://maps.google.com/maps?q=4.83814,-75.68566&amp;ll=4.83814,-75.68566&amp;z=14.75z","Vte Romelia El Pollo, Km 10.86 Mercasa - Estadio, , Santana, Dosquebradas, Risaralda")</f>
        <v>Vte Romelia El Pollo, Km 10.86 Mercasa - Estadio, , Santana, Dosquebradas, Risaralda</v>
      </c>
      <c r="G40">
        <v>48</v>
      </c>
      <c r="H40">
        <v>138046</v>
      </c>
      <c r="I40">
        <v>-75.685659999999999</v>
      </c>
      <c r="J40">
        <v>4.8381400000000001</v>
      </c>
      <c r="K40" t="s">
        <v>30</v>
      </c>
      <c r="L40" s="1">
        <v>44614</v>
      </c>
      <c r="M40" s="2" t="s">
        <v>156</v>
      </c>
      <c r="N40" t="s">
        <v>20</v>
      </c>
      <c r="O40" t="s">
        <v>21</v>
      </c>
      <c r="P40" t="s">
        <v>22</v>
      </c>
    </row>
    <row r="41" spans="1:16" x14ac:dyDescent="0.25">
      <c r="A41" t="s">
        <v>16</v>
      </c>
      <c r="B41" t="s">
        <v>17</v>
      </c>
      <c r="C41" t="s">
        <v>18</v>
      </c>
      <c r="D41" s="1">
        <v>44614</v>
      </c>
      <c r="E41" s="2" t="s">
        <v>153</v>
      </c>
      <c r="F41" s="3" t="str">
        <f>HYPERLINK("https://maps.google.com/maps?q=4.8359,-75.6916&amp;ll=4.8359,-75.6916&amp;z=14.75z","Vte Romelia El Pollo, Km 10.07 Mercasa - Estadio, , Comuna 3, Dosquebradas, Risaralda")</f>
        <v>Vte Romelia El Pollo, Km 10.07 Mercasa - Estadio, , Comuna 3, Dosquebradas, Risaralda</v>
      </c>
      <c r="G41">
        <v>31</v>
      </c>
      <c r="H41">
        <v>138047</v>
      </c>
      <c r="I41">
        <v>-75.691599999999994</v>
      </c>
      <c r="J41">
        <v>4.8358999999999996</v>
      </c>
      <c r="K41" t="s">
        <v>29</v>
      </c>
      <c r="L41" s="1">
        <v>44614</v>
      </c>
      <c r="M41" s="2" t="s">
        <v>153</v>
      </c>
      <c r="N41" t="s">
        <v>20</v>
      </c>
      <c r="O41" t="s">
        <v>21</v>
      </c>
      <c r="P41" t="s">
        <v>22</v>
      </c>
    </row>
    <row r="42" spans="1:16" x14ac:dyDescent="0.25">
      <c r="A42" t="s">
        <v>16</v>
      </c>
      <c r="B42" t="s">
        <v>17</v>
      </c>
      <c r="C42" t="s">
        <v>18</v>
      </c>
      <c r="D42" s="1">
        <v>44614</v>
      </c>
      <c r="E42" s="2" t="s">
        <v>153</v>
      </c>
      <c r="F42" s="3" t="str">
        <f>HYPERLINK("https://maps.google.com/maps?q=4.83582,-75.69509&amp;ll=4.83582,-75.69509&amp;z=14.75z","Vte Romelia El Pollo, Km 9.7 Mercasa - Estadio, , Comuna 3, Dosquebradas, Risaralda")</f>
        <v>Vte Romelia El Pollo, Km 9.7 Mercasa - Estadio, , Comuna 3, Dosquebradas, Risaralda</v>
      </c>
      <c r="G42">
        <v>38</v>
      </c>
      <c r="H42">
        <v>138047</v>
      </c>
      <c r="I42">
        <v>-75.695089999999993</v>
      </c>
      <c r="J42">
        <v>4.83582</v>
      </c>
      <c r="K42" t="s">
        <v>30</v>
      </c>
      <c r="L42" s="1">
        <v>44614</v>
      </c>
      <c r="M42" s="2" t="s">
        <v>157</v>
      </c>
      <c r="N42" t="s">
        <v>20</v>
      </c>
      <c r="O42" t="s">
        <v>21</v>
      </c>
      <c r="P42" t="s">
        <v>22</v>
      </c>
    </row>
    <row r="43" spans="1:16" x14ac:dyDescent="0.25">
      <c r="A43" t="s">
        <v>16</v>
      </c>
      <c r="B43" t="s">
        <v>17</v>
      </c>
      <c r="C43" t="s">
        <v>18</v>
      </c>
      <c r="D43" s="1">
        <v>44614</v>
      </c>
      <c r="E43" s="2" t="s">
        <v>157</v>
      </c>
      <c r="F43" s="3" t="str">
        <f>HYPERLINK("https://maps.google.com/maps?q=4.83144,-75.69751&amp;ll=4.83144,-75.69751&amp;z=14.75z","Vte Romelia El Pollo, Km 9.16 Mercasa - Estadio, , Comuna 3, Dosquebradas, Risaralda")</f>
        <v>Vte Romelia El Pollo, Km 9.16 Mercasa - Estadio, , Comuna 3, Dosquebradas, Risaralda</v>
      </c>
      <c r="G43">
        <v>35</v>
      </c>
      <c r="H43">
        <v>138048</v>
      </c>
      <c r="I43">
        <v>-75.697509999999994</v>
      </c>
      <c r="J43">
        <v>4.8314399999999997</v>
      </c>
      <c r="K43" t="s">
        <v>30</v>
      </c>
      <c r="L43" s="1">
        <v>44614</v>
      </c>
      <c r="M43" s="2" t="s">
        <v>157</v>
      </c>
      <c r="N43" t="s">
        <v>20</v>
      </c>
      <c r="O43" t="s">
        <v>21</v>
      </c>
      <c r="P43" t="s">
        <v>22</v>
      </c>
    </row>
    <row r="44" spans="1:16" x14ac:dyDescent="0.25">
      <c r="A44" t="s">
        <v>16</v>
      </c>
      <c r="B44" t="s">
        <v>17</v>
      </c>
      <c r="C44" t="s">
        <v>18</v>
      </c>
      <c r="D44" s="1">
        <v>44614</v>
      </c>
      <c r="E44" s="2" t="s">
        <v>158</v>
      </c>
      <c r="F44" s="3" t="str">
        <f>HYPERLINK("https://maps.google.com/maps?q=4.83109,-75.69968&amp;ll=4.83109,-75.69968&amp;z=14.75z","Vte Romelia El Pollo, Km 8.7 Mercasa - Estadio, , , Dosquebradas, Risaralda")</f>
        <v>Vte Romelia El Pollo, Km 8.7 Mercasa - Estadio, , , Dosquebradas, Risaralda</v>
      </c>
      <c r="G44">
        <v>12</v>
      </c>
      <c r="H44">
        <v>138048</v>
      </c>
      <c r="I44">
        <v>-75.699680000000001</v>
      </c>
      <c r="J44">
        <v>4.8310899999999997</v>
      </c>
      <c r="K44" t="s">
        <v>29</v>
      </c>
      <c r="L44" s="1">
        <v>44614</v>
      </c>
      <c r="M44" s="2" t="s">
        <v>158</v>
      </c>
      <c r="N44" t="s">
        <v>20</v>
      </c>
      <c r="O44" t="s">
        <v>21</v>
      </c>
      <c r="P44" t="s">
        <v>22</v>
      </c>
    </row>
    <row r="45" spans="1:16" x14ac:dyDescent="0.25">
      <c r="A45" t="s">
        <v>16</v>
      </c>
      <c r="B45" t="s">
        <v>17</v>
      </c>
      <c r="C45" t="s">
        <v>18</v>
      </c>
      <c r="D45" s="1">
        <v>44614</v>
      </c>
      <c r="E45" s="2" t="s">
        <v>159</v>
      </c>
      <c r="F45" s="3" t="str">
        <f>HYPERLINK("https://maps.google.com/maps?q=4.83074,-75.70371&amp;ll=4.83074,-75.70371&amp;z=14.75z","Vte Romelia El Pollo, Km 8.43 Mercasa - Estadio, , La Esperanza, Dosquebradas, Risaralda")</f>
        <v>Vte Romelia El Pollo, Km 8.43 Mercasa - Estadio, , La Esperanza, Dosquebradas, Risaralda</v>
      </c>
      <c r="G45">
        <v>22</v>
      </c>
      <c r="H45">
        <v>138048</v>
      </c>
      <c r="I45">
        <v>-75.703710000000001</v>
      </c>
      <c r="J45">
        <v>4.8307399999999996</v>
      </c>
      <c r="K45" t="s">
        <v>29</v>
      </c>
      <c r="L45" s="1">
        <v>44614</v>
      </c>
      <c r="M45" s="2" t="s">
        <v>159</v>
      </c>
      <c r="N45" t="s">
        <v>20</v>
      </c>
      <c r="O45" t="s">
        <v>21</v>
      </c>
      <c r="P45" t="s">
        <v>22</v>
      </c>
    </row>
    <row r="46" spans="1:16" x14ac:dyDescent="0.25">
      <c r="A46" t="s">
        <v>16</v>
      </c>
      <c r="B46" t="s">
        <v>17</v>
      </c>
      <c r="C46" t="s">
        <v>18</v>
      </c>
      <c r="D46" s="1">
        <v>44614</v>
      </c>
      <c r="E46" s="2" t="s">
        <v>160</v>
      </c>
      <c r="F46" s="3" t="str">
        <f>HYPERLINK("https://maps.google.com/maps?q=4.82785,-75.70803&amp;ll=4.82785,-75.70803&amp;z=14.75z","Vte Romelia El Pollo, Km 7.86 Mercasa - Estadio, , La Esperanza, Dosquebradas, Risaralda")</f>
        <v>Vte Romelia El Pollo, Km 7.86 Mercasa - Estadio, , La Esperanza, Dosquebradas, Risaralda</v>
      </c>
      <c r="G46">
        <v>33</v>
      </c>
      <c r="H46">
        <v>138049</v>
      </c>
      <c r="I46">
        <v>-75.708029999999994</v>
      </c>
      <c r="J46">
        <v>4.8278499999999998</v>
      </c>
      <c r="K46" t="s">
        <v>29</v>
      </c>
      <c r="L46" s="1">
        <v>44614</v>
      </c>
      <c r="M46" s="2" t="s">
        <v>161</v>
      </c>
      <c r="N46" t="s">
        <v>20</v>
      </c>
      <c r="O46" t="s">
        <v>21</v>
      </c>
      <c r="P46" t="s">
        <v>22</v>
      </c>
    </row>
    <row r="47" spans="1:16" x14ac:dyDescent="0.25">
      <c r="A47" t="s">
        <v>16</v>
      </c>
      <c r="B47" t="s">
        <v>17</v>
      </c>
      <c r="C47" t="s">
        <v>27</v>
      </c>
      <c r="D47" s="1">
        <v>44614</v>
      </c>
      <c r="E47" s="2" t="s">
        <v>161</v>
      </c>
      <c r="F47" s="3" t="str">
        <f>HYPERLINK("https://maps.google.com/maps?q=4.82837,-75.71099&amp;ll=4.82837,-75.71099&amp;z=14.75z","Vte Romelia El Pollo, Km 7.45 Mercasa - Estadio, , La Esperanza, Dosquebradas, Risaralda")</f>
        <v>Vte Romelia El Pollo, Km 7.45 Mercasa - Estadio, , La Esperanza, Dosquebradas, Risaralda</v>
      </c>
      <c r="G47">
        <v>41</v>
      </c>
      <c r="H47">
        <v>138049</v>
      </c>
      <c r="I47">
        <v>-75.710989999999995</v>
      </c>
      <c r="J47">
        <v>4.8283699999999996</v>
      </c>
      <c r="K47" t="s">
        <v>23</v>
      </c>
      <c r="L47" s="1">
        <v>44614</v>
      </c>
      <c r="M47" s="2" t="s">
        <v>161</v>
      </c>
      <c r="N47" t="s">
        <v>20</v>
      </c>
      <c r="O47" t="s">
        <v>21</v>
      </c>
      <c r="P47" t="s">
        <v>28</v>
      </c>
    </row>
    <row r="48" spans="1:16" x14ac:dyDescent="0.25">
      <c r="A48" t="s">
        <v>16</v>
      </c>
      <c r="B48" t="s">
        <v>17</v>
      </c>
      <c r="C48" t="s">
        <v>18</v>
      </c>
      <c r="D48" s="1">
        <v>44614</v>
      </c>
      <c r="E48" s="2" t="s">
        <v>162</v>
      </c>
      <c r="F48" s="3" t="str">
        <f>HYPERLINK("https://maps.google.com/maps?q=4.82345,-75.71434&amp;ll=4.82345,-75.71434&amp;z=14.75z","Vte Romelia El Pollo, Km 6.75 Mercasa - Estadio, , La Esperanza, Dosquebradas, Risaralda")</f>
        <v>Vte Romelia El Pollo, Km 6.75 Mercasa - Estadio, , La Esperanza, Dosquebradas, Risaralda</v>
      </c>
      <c r="G48">
        <v>53</v>
      </c>
      <c r="H48">
        <v>138050</v>
      </c>
      <c r="I48">
        <v>-75.714340000000007</v>
      </c>
      <c r="J48">
        <v>4.8234500000000002</v>
      </c>
      <c r="K48" t="s">
        <v>30</v>
      </c>
      <c r="L48" s="1">
        <v>44614</v>
      </c>
      <c r="M48" s="2" t="s">
        <v>162</v>
      </c>
      <c r="N48" t="s">
        <v>20</v>
      </c>
      <c r="O48" t="s">
        <v>21</v>
      </c>
      <c r="P48" t="s">
        <v>22</v>
      </c>
    </row>
    <row r="49" spans="1:16" x14ac:dyDescent="0.25">
      <c r="A49" t="s">
        <v>16</v>
      </c>
      <c r="B49" t="s">
        <v>17</v>
      </c>
      <c r="C49" t="s">
        <v>27</v>
      </c>
      <c r="D49" s="1">
        <v>44614</v>
      </c>
      <c r="E49" s="2" t="s">
        <v>163</v>
      </c>
      <c r="F49" s="3" t="str">
        <f>HYPERLINK("https://maps.google.com/maps?q=4.82392,-75.71937&amp;ll=4.82392,-75.71937&amp;z=14.75z","Vte Romelia El Pollo, Km 6.16 Mercasa - Estadio, , Combia Alta, Pereira, Risaralda")</f>
        <v>Vte Romelia El Pollo, Km 6.16 Mercasa - Estadio, , Combia Alta, Pereira, Risaralda</v>
      </c>
      <c r="G49">
        <v>35</v>
      </c>
      <c r="H49">
        <v>138050</v>
      </c>
      <c r="I49">
        <v>-75.719369999999998</v>
      </c>
      <c r="J49">
        <v>4.8239200000000002</v>
      </c>
      <c r="K49" t="s">
        <v>23</v>
      </c>
      <c r="L49" s="1">
        <v>44614</v>
      </c>
      <c r="M49" s="2" t="s">
        <v>163</v>
      </c>
      <c r="N49" t="s">
        <v>20</v>
      </c>
      <c r="O49" t="s">
        <v>21</v>
      </c>
      <c r="P49" t="s">
        <v>28</v>
      </c>
    </row>
    <row r="50" spans="1:16" x14ac:dyDescent="0.25">
      <c r="A50" t="s">
        <v>16</v>
      </c>
      <c r="B50" t="s">
        <v>17</v>
      </c>
      <c r="C50" t="s">
        <v>18</v>
      </c>
      <c r="D50" s="1">
        <v>44614</v>
      </c>
      <c r="E50" s="2" t="s">
        <v>164</v>
      </c>
      <c r="F50" s="3" t="str">
        <f>HYPERLINK("https://maps.google.com/maps?q=4.82392,-75.71937&amp;ll=4.82392,-75.71937&amp;z=14.75z","Vte Romelia El Pollo, Km 6.16 Mercasa - Estadio, , Combia Alta, Pereira, Risaralda")</f>
        <v>Vte Romelia El Pollo, Km 6.16 Mercasa - Estadio, , Combia Alta, Pereira, Risaralda</v>
      </c>
      <c r="G50">
        <v>35</v>
      </c>
      <c r="H50">
        <v>138050</v>
      </c>
      <c r="I50">
        <v>-75.719369999999998</v>
      </c>
      <c r="J50">
        <v>4.8239200000000002</v>
      </c>
      <c r="K50" t="s">
        <v>23</v>
      </c>
      <c r="L50" s="1">
        <v>44614</v>
      </c>
      <c r="M50" s="2" t="s">
        <v>165</v>
      </c>
      <c r="N50" t="s">
        <v>20</v>
      </c>
      <c r="O50" t="s">
        <v>21</v>
      </c>
      <c r="P50" t="s">
        <v>28</v>
      </c>
    </row>
    <row r="51" spans="1:16" x14ac:dyDescent="0.25">
      <c r="A51" t="s">
        <v>16</v>
      </c>
      <c r="B51" t="s">
        <v>17</v>
      </c>
      <c r="C51" t="s">
        <v>18</v>
      </c>
      <c r="D51" s="1">
        <v>44614</v>
      </c>
      <c r="E51" s="2" t="s">
        <v>165</v>
      </c>
      <c r="F51" s="3" t="str">
        <f>HYPERLINK("https://maps.google.com/maps?q=4.82082,-75.72642&amp;ll=4.82082,-75.72642&amp;z=14.75z","Vte Romelia El Pollo, Km 5.25 Mercasa - Estadio, Sector C, Ferrocarril, Pereira, Risaralda")</f>
        <v>Vte Romelia El Pollo, Km 5.25 Mercasa - Estadio, Sector C, Ferrocarril, Pereira, Risaralda</v>
      </c>
      <c r="G51">
        <v>26</v>
      </c>
      <c r="H51">
        <v>138051</v>
      </c>
      <c r="I51">
        <v>-75.726420000000005</v>
      </c>
      <c r="J51">
        <v>4.8208200000000003</v>
      </c>
      <c r="K51" t="s">
        <v>29</v>
      </c>
      <c r="L51" s="1">
        <v>44614</v>
      </c>
      <c r="M51" s="2" t="s">
        <v>165</v>
      </c>
      <c r="N51" t="s">
        <v>20</v>
      </c>
      <c r="O51" t="s">
        <v>21</v>
      </c>
      <c r="P51" t="s">
        <v>22</v>
      </c>
    </row>
    <row r="52" spans="1:16" x14ac:dyDescent="0.25">
      <c r="A52" t="s">
        <v>16</v>
      </c>
      <c r="B52" t="s">
        <v>17</v>
      </c>
      <c r="C52" t="s">
        <v>18</v>
      </c>
      <c r="D52" s="1">
        <v>44614</v>
      </c>
      <c r="E52" s="2" t="s">
        <v>166</v>
      </c>
      <c r="F52" s="3" t="str">
        <f>HYPERLINK("https://maps.google.com/maps?q=4.819,-75.73115&amp;ll=4.819,-75.73115&amp;z=14.75z","Vte Romelia El Pollo, Km 4.52 Mercasa - Estadio, , Ferrocarril, Pereira, Risaralda")</f>
        <v>Vte Romelia El Pollo, Km 4.52 Mercasa - Estadio, , Ferrocarril, Pereira, Risaralda</v>
      </c>
      <c r="G52">
        <v>65</v>
      </c>
      <c r="H52">
        <v>138052</v>
      </c>
      <c r="I52">
        <v>-75.73115</v>
      </c>
      <c r="J52">
        <v>4.819</v>
      </c>
      <c r="K52" t="s">
        <v>29</v>
      </c>
      <c r="L52" s="1">
        <v>44614</v>
      </c>
      <c r="M52" s="2" t="s">
        <v>166</v>
      </c>
      <c r="N52" t="s">
        <v>20</v>
      </c>
      <c r="O52" t="s">
        <v>21</v>
      </c>
      <c r="P52" t="s">
        <v>22</v>
      </c>
    </row>
    <row r="53" spans="1:16" x14ac:dyDescent="0.25">
      <c r="A53" t="s">
        <v>16</v>
      </c>
      <c r="B53" t="s">
        <v>17</v>
      </c>
      <c r="C53" t="s">
        <v>18</v>
      </c>
      <c r="D53" s="1">
        <v>44614</v>
      </c>
      <c r="E53" s="2" t="s">
        <v>167</v>
      </c>
      <c r="F53" s="3" t="str">
        <f>HYPERLINK("https://maps.google.com/maps?q=4.82083,-75.73751&amp;ll=4.82083,-75.73751&amp;z=14.75z","Vte Romelia El Pollo, Km 3.91 Mercasa - Estadio, , Ferrocarril, Pereira, Risaralda")</f>
        <v>Vte Romelia El Pollo, Km 3.91 Mercasa - Estadio, , Ferrocarril, Pereira, Risaralda</v>
      </c>
      <c r="G53">
        <v>21</v>
      </c>
      <c r="H53">
        <v>138052</v>
      </c>
      <c r="I53">
        <v>-75.73751</v>
      </c>
      <c r="J53">
        <v>4.8208299999999999</v>
      </c>
      <c r="K53" t="s">
        <v>29</v>
      </c>
      <c r="L53" s="1">
        <v>44614</v>
      </c>
      <c r="M53" s="2" t="s">
        <v>167</v>
      </c>
      <c r="N53" t="s">
        <v>20</v>
      </c>
      <c r="O53" t="s">
        <v>21</v>
      </c>
      <c r="P53" t="s">
        <v>22</v>
      </c>
    </row>
    <row r="54" spans="1:16" x14ac:dyDescent="0.25">
      <c r="A54" t="s">
        <v>16</v>
      </c>
      <c r="B54" t="s">
        <v>17</v>
      </c>
      <c r="C54" t="s">
        <v>18</v>
      </c>
      <c r="D54" s="1">
        <v>44614</v>
      </c>
      <c r="E54" s="2" t="s">
        <v>302</v>
      </c>
      <c r="F54" s="3" t="str">
        <f>HYPERLINK("https://maps.google.com/maps?q=4.81865,-75.74063&amp;ll=4.81865,-75.74063&amp;z=14.75z","Vte Romelia El Pollo, Km 3.37 Mercasa - Estadio, , Ferrocarril, Pereira, Risaralda")</f>
        <v>Vte Romelia El Pollo, Km 3.37 Mercasa - Estadio, , Ferrocarril, Pereira, Risaralda</v>
      </c>
      <c r="G54">
        <v>47</v>
      </c>
      <c r="H54">
        <v>138053</v>
      </c>
      <c r="I54">
        <v>-75.740629999999996</v>
      </c>
      <c r="J54">
        <v>4.8186499999999999</v>
      </c>
      <c r="K54" t="s">
        <v>30</v>
      </c>
      <c r="L54" s="1">
        <v>44614</v>
      </c>
      <c r="M54" s="2" t="s">
        <v>302</v>
      </c>
      <c r="N54" t="s">
        <v>20</v>
      </c>
      <c r="O54" t="s">
        <v>21</v>
      </c>
      <c r="P54" t="s">
        <v>22</v>
      </c>
    </row>
    <row r="55" spans="1:16" x14ac:dyDescent="0.25">
      <c r="A55" t="s">
        <v>16</v>
      </c>
      <c r="B55" t="s">
        <v>17</v>
      </c>
      <c r="C55" t="s">
        <v>18</v>
      </c>
      <c r="D55" s="1">
        <v>44614</v>
      </c>
      <c r="E55" s="2" t="s">
        <v>302</v>
      </c>
      <c r="F55" s="3" t="str">
        <f>HYPERLINK("https://maps.google.com/maps?q=4.81396,-75.74516&amp;ll=4.81396,-75.74516&amp;z=14.75z","Vte Romelia El Pollo, Km 2.45 Mercasa - Estadio, , Ferrocarril, Pereira, Risaralda")</f>
        <v>Vte Romelia El Pollo, Km 2.45 Mercasa - Estadio, , Ferrocarril, Pereira, Risaralda</v>
      </c>
      <c r="G55">
        <v>51</v>
      </c>
      <c r="H55">
        <v>138054</v>
      </c>
      <c r="I55">
        <v>-75.745159999999998</v>
      </c>
      <c r="J55">
        <v>4.8139599999999998</v>
      </c>
      <c r="K55" t="s">
        <v>29</v>
      </c>
      <c r="L55" s="1">
        <v>44614</v>
      </c>
      <c r="M55" s="2" t="s">
        <v>168</v>
      </c>
      <c r="N55" t="s">
        <v>20</v>
      </c>
      <c r="O55" t="s">
        <v>21</v>
      </c>
      <c r="P55" t="s">
        <v>22</v>
      </c>
    </row>
    <row r="56" spans="1:16" x14ac:dyDescent="0.25">
      <c r="A56" t="s">
        <v>16</v>
      </c>
      <c r="B56" t="s">
        <v>17</v>
      </c>
      <c r="C56" t="s">
        <v>18</v>
      </c>
      <c r="D56" s="1">
        <v>44614</v>
      </c>
      <c r="E56" s="2" t="s">
        <v>168</v>
      </c>
      <c r="F56" s="3" t="str">
        <f>HYPERLINK("https://maps.google.com/maps?q=4.81169,-75.75231&amp;ll=4.81169,-75.75231&amp;z=14.75z","Vte Romelia El Pollo, Km 1.86 Mercasa - Estadio, , Ferrocarril, Pereira, Risaralda")</f>
        <v>Vte Romelia El Pollo, Km 1.86 Mercasa - Estadio, , Ferrocarril, Pereira, Risaralda</v>
      </c>
      <c r="G56">
        <v>53</v>
      </c>
      <c r="H56">
        <v>138054</v>
      </c>
      <c r="I56">
        <v>-75.752309999999994</v>
      </c>
      <c r="J56">
        <v>4.8116899999999996</v>
      </c>
      <c r="K56" t="s">
        <v>29</v>
      </c>
      <c r="L56" s="1">
        <v>44614</v>
      </c>
      <c r="M56" s="2" t="s">
        <v>169</v>
      </c>
      <c r="N56" t="s">
        <v>20</v>
      </c>
      <c r="O56" t="s">
        <v>21</v>
      </c>
      <c r="P56" t="s">
        <v>22</v>
      </c>
    </row>
    <row r="57" spans="1:16" x14ac:dyDescent="0.25">
      <c r="A57" t="s">
        <v>16</v>
      </c>
      <c r="B57" t="s">
        <v>17</v>
      </c>
      <c r="C57" t="s">
        <v>18</v>
      </c>
      <c r="D57" s="1">
        <v>44614</v>
      </c>
      <c r="E57" s="2" t="s">
        <v>169</v>
      </c>
      <c r="F57" s="3" t="str">
        <f>HYPERLINK("https://maps.google.com/maps?q=4.81319,-75.75731&amp;ll=4.81319,-75.75731&amp;z=14.75z","Vte Romelia El Pollo, Km 1.21 Mercasa - Estadio, , Ferrocarril, Pereira, Risaralda")</f>
        <v>Vte Romelia El Pollo, Km 1.21 Mercasa - Estadio, , Ferrocarril, Pereira, Risaralda</v>
      </c>
      <c r="G57">
        <v>53</v>
      </c>
      <c r="H57">
        <v>138055</v>
      </c>
      <c r="I57">
        <v>-75.757310000000004</v>
      </c>
      <c r="J57">
        <v>4.8131899999999996</v>
      </c>
      <c r="K57" t="s">
        <v>19</v>
      </c>
      <c r="L57" s="1">
        <v>44614</v>
      </c>
      <c r="M57" s="2" t="s">
        <v>169</v>
      </c>
      <c r="N57" t="s">
        <v>20</v>
      </c>
      <c r="O57" t="s">
        <v>21</v>
      </c>
      <c r="P57" t="s">
        <v>22</v>
      </c>
    </row>
    <row r="58" spans="1:16" x14ac:dyDescent="0.25">
      <c r="A58" t="s">
        <v>16</v>
      </c>
      <c r="B58" t="s">
        <v>17</v>
      </c>
      <c r="C58" t="s">
        <v>18</v>
      </c>
      <c r="D58" s="1">
        <v>44614</v>
      </c>
      <c r="E58" s="2" t="s">
        <v>170</v>
      </c>
      <c r="F58" s="3" t="str">
        <f>HYPERLINK("https://maps.google.com/maps?q=4.8149,-75.76288&amp;ll=4.8149,-75.76288&amp;z=14.75z","Vte Romelia El Pollo, Km 0.58 Mercasa - Estadio, , Ferrocarril, Pereira, Risaralda")</f>
        <v>Vte Romelia El Pollo, Km 0.58 Mercasa - Estadio, , Ferrocarril, Pereira, Risaralda</v>
      </c>
      <c r="G58">
        <v>43</v>
      </c>
      <c r="H58">
        <v>138056</v>
      </c>
      <c r="I58">
        <v>-75.762879999999996</v>
      </c>
      <c r="J58">
        <v>4.8148999999999997</v>
      </c>
      <c r="K58" t="s">
        <v>29</v>
      </c>
      <c r="L58" s="1">
        <v>44614</v>
      </c>
      <c r="M58" s="2" t="s">
        <v>170</v>
      </c>
      <c r="N58" t="s">
        <v>20</v>
      </c>
      <c r="O58" t="s">
        <v>21</v>
      </c>
      <c r="P58" t="s">
        <v>22</v>
      </c>
    </row>
    <row r="59" spans="1:16" x14ac:dyDescent="0.25">
      <c r="A59" t="s">
        <v>16</v>
      </c>
      <c r="B59" t="s">
        <v>17</v>
      </c>
      <c r="C59" t="s">
        <v>18</v>
      </c>
      <c r="D59" s="1">
        <v>44614</v>
      </c>
      <c r="E59" s="2" t="s">
        <v>171</v>
      </c>
      <c r="F59" s="3" t="str">
        <f>HYPERLINK("https://maps.google.com/maps?q=4.81269,-75.76734&amp;ll=4.81269,-75.76734&amp;z=14.75z","Vte Romelia El Pollo, Km 0.02 Mercasa - Estadio, , Ferrocarril, Pereira, Risaralda")</f>
        <v>Vte Romelia El Pollo, Km 0.02 Mercasa - Estadio, , Ferrocarril, Pereira, Risaralda</v>
      </c>
      <c r="G59">
        <v>8</v>
      </c>
      <c r="H59">
        <v>138056</v>
      </c>
      <c r="I59">
        <v>-75.767340000000004</v>
      </c>
      <c r="J59">
        <v>4.8126899999999999</v>
      </c>
      <c r="K59" t="s">
        <v>31</v>
      </c>
      <c r="L59" s="1">
        <v>44614</v>
      </c>
      <c r="M59" s="2" t="s">
        <v>171</v>
      </c>
      <c r="N59" t="s">
        <v>20</v>
      </c>
      <c r="O59" t="s">
        <v>21</v>
      </c>
      <c r="P59" t="s">
        <v>22</v>
      </c>
    </row>
    <row r="60" spans="1:16" x14ac:dyDescent="0.25">
      <c r="A60" t="s">
        <v>16</v>
      </c>
      <c r="B60" t="s">
        <v>17</v>
      </c>
      <c r="C60" t="s">
        <v>18</v>
      </c>
      <c r="D60" s="1">
        <v>44614</v>
      </c>
      <c r="E60" s="2" t="s">
        <v>172</v>
      </c>
      <c r="F60" s="3" t="str">
        <f>HYPERLINK("https://maps.google.com/maps?q=4.80933,-75.76701&amp;ll=4.80933,-75.76701&amp;z=14.75z","Av de Las Américas, Km 0.36 Av 30 Ago - Urb Coralina, , Olímpica, Pereira, Risaralda")</f>
        <v>Av de Las Américas, Km 0.36 Av 30 Ago - Urb Coralina, , Olímpica, Pereira, Risaralda</v>
      </c>
      <c r="G60">
        <v>33</v>
      </c>
      <c r="H60">
        <v>138057</v>
      </c>
      <c r="I60">
        <v>-75.767009999999999</v>
      </c>
      <c r="J60">
        <v>4.8093300000000001</v>
      </c>
      <c r="K60" t="s">
        <v>31</v>
      </c>
      <c r="L60" s="1">
        <v>44614</v>
      </c>
      <c r="M60" s="2" t="s">
        <v>172</v>
      </c>
      <c r="N60" t="s">
        <v>20</v>
      </c>
      <c r="O60" t="s">
        <v>21</v>
      </c>
      <c r="P60" t="s">
        <v>22</v>
      </c>
    </row>
    <row r="61" spans="1:16" x14ac:dyDescent="0.25">
      <c r="A61" t="s">
        <v>16</v>
      </c>
      <c r="B61" t="s">
        <v>17</v>
      </c>
      <c r="C61" t="s">
        <v>18</v>
      </c>
      <c r="D61" s="1">
        <v>44614</v>
      </c>
      <c r="E61" s="2" t="s">
        <v>173</v>
      </c>
      <c r="F61" s="3" t="str">
        <f>HYPERLINK("https://maps.google.com/maps?q=4.80695,-75.76342&amp;ll=4.80695,-75.76342&amp;z=14.75z","Av de Las Américas, Km 1.03 Urb Coralina - Av 30 Ago, Los Robles, Olímpica, Pereira, Risaralda")</f>
        <v>Av de Las Américas, Km 1.03 Urb Coralina - Av 30 Ago, Los Robles, Olímpica, Pereira, Risaralda</v>
      </c>
      <c r="G61">
        <v>32</v>
      </c>
      <c r="H61">
        <v>138057</v>
      </c>
      <c r="I61">
        <v>-75.763419999999996</v>
      </c>
      <c r="J61">
        <v>4.8069499999999996</v>
      </c>
      <c r="K61" t="s">
        <v>33</v>
      </c>
      <c r="L61" s="1">
        <v>44614</v>
      </c>
      <c r="M61" s="2" t="s">
        <v>173</v>
      </c>
      <c r="N61" t="s">
        <v>20</v>
      </c>
      <c r="O61" t="s">
        <v>21</v>
      </c>
      <c r="P61" t="s">
        <v>22</v>
      </c>
    </row>
    <row r="62" spans="1:16" x14ac:dyDescent="0.25">
      <c r="A62" t="s">
        <v>16</v>
      </c>
      <c r="B62" t="s">
        <v>17</v>
      </c>
      <c r="C62" t="s">
        <v>18</v>
      </c>
      <c r="D62" s="1">
        <v>44614</v>
      </c>
      <c r="E62" s="2" t="s">
        <v>174</v>
      </c>
      <c r="F62" s="3" t="str">
        <f>HYPERLINK("https://maps.google.com/maps?q=4.80438,-75.76042&amp;ll=4.80438,-75.76042&amp;z=14.75z","Av de Las Américas, Km 0.34 Urb Coralina - Av 30 Ago, , Olímpica, Pereira, Risaralda")</f>
        <v>Av de Las Américas, Km 0.34 Urb Coralina - Av 30 Ago, , Olímpica, Pereira, Risaralda</v>
      </c>
      <c r="G62">
        <v>31</v>
      </c>
      <c r="H62">
        <v>138058</v>
      </c>
      <c r="I62">
        <v>-75.760419999999996</v>
      </c>
      <c r="J62">
        <v>4.8043800000000001</v>
      </c>
      <c r="K62" t="s">
        <v>33</v>
      </c>
      <c r="L62" s="1">
        <v>44614</v>
      </c>
      <c r="M62" s="2" t="s">
        <v>174</v>
      </c>
      <c r="N62" t="s">
        <v>20</v>
      </c>
      <c r="O62" t="s">
        <v>21</v>
      </c>
      <c r="P62" t="s">
        <v>22</v>
      </c>
    </row>
    <row r="63" spans="1:16" x14ac:dyDescent="0.25">
      <c r="A63" t="s">
        <v>16</v>
      </c>
      <c r="B63" t="s">
        <v>17</v>
      </c>
      <c r="C63" t="s">
        <v>18</v>
      </c>
      <c r="D63" s="1">
        <v>44614</v>
      </c>
      <c r="E63" s="2" t="s">
        <v>175</v>
      </c>
      <c r="F63" s="3" t="str">
        <f>HYPERLINK("https://maps.google.com/maps?q=4.80071,-75.75853&amp;ll=4.80071,-75.75853&amp;z=14.75z","Cra 28, , Olímpica, Pereira, Risaralda")</f>
        <v>Cra 28, , Olímpica, Pereira, Risaralda</v>
      </c>
      <c r="G63">
        <v>31</v>
      </c>
      <c r="H63">
        <v>138058</v>
      </c>
      <c r="I63">
        <v>-75.758529999999993</v>
      </c>
      <c r="J63">
        <v>4.8007099999999996</v>
      </c>
      <c r="K63" t="s">
        <v>33</v>
      </c>
      <c r="L63" s="1">
        <v>44614</v>
      </c>
      <c r="M63" s="2" t="s">
        <v>175</v>
      </c>
      <c r="N63" t="s">
        <v>20</v>
      </c>
      <c r="O63" t="s">
        <v>21</v>
      </c>
      <c r="P63" t="s">
        <v>22</v>
      </c>
    </row>
    <row r="64" spans="1:16" x14ac:dyDescent="0.25">
      <c r="A64" t="s">
        <v>16</v>
      </c>
      <c r="B64" t="s">
        <v>17</v>
      </c>
      <c r="C64" t="s">
        <v>18</v>
      </c>
      <c r="D64" s="1">
        <v>44614</v>
      </c>
      <c r="E64" s="2" t="s">
        <v>176</v>
      </c>
      <c r="F64" s="3" t="str">
        <f>HYPERLINK("https://maps.google.com/maps?q=4.80012,-75.75453&amp;ll=4.80012,-75.75453&amp;z=14.75z","Cra 28, , San Joaquín, Pereira, Risaralda")</f>
        <v>Cra 28, , San Joaquín, Pereira, Risaralda</v>
      </c>
      <c r="G64">
        <v>28</v>
      </c>
      <c r="H64">
        <v>138059</v>
      </c>
      <c r="I64">
        <v>-75.754530000000003</v>
      </c>
      <c r="J64">
        <v>4.8001199999999997</v>
      </c>
      <c r="K64" t="s">
        <v>41</v>
      </c>
      <c r="L64" s="1">
        <v>44614</v>
      </c>
      <c r="M64" s="2" t="s">
        <v>176</v>
      </c>
      <c r="N64" t="s">
        <v>20</v>
      </c>
      <c r="O64" t="s">
        <v>21</v>
      </c>
      <c r="P64" t="s">
        <v>22</v>
      </c>
    </row>
    <row r="65" spans="1:16" x14ac:dyDescent="0.25">
      <c r="A65" t="s">
        <v>16</v>
      </c>
      <c r="B65" t="s">
        <v>17</v>
      </c>
      <c r="C65" t="s">
        <v>18</v>
      </c>
      <c r="D65" s="1">
        <v>44614</v>
      </c>
      <c r="E65" s="2" t="s">
        <v>177</v>
      </c>
      <c r="F65" s="3" t="str">
        <f>HYPERLINK("https://maps.google.com/maps?q=4.80047,-75.75141&amp;ll=4.80047,-75.75141&amp;z=14.75z","Cra 28, , San Joaquín, Pereira, Risaralda")</f>
        <v>Cra 28, , San Joaquín, Pereira, Risaralda</v>
      </c>
      <c r="G65">
        <v>0</v>
      </c>
      <c r="H65">
        <v>138059</v>
      </c>
      <c r="I65">
        <v>-75.751410000000007</v>
      </c>
      <c r="J65">
        <v>4.8004699999999998</v>
      </c>
      <c r="K65" t="s">
        <v>41</v>
      </c>
      <c r="L65" s="1">
        <v>44614</v>
      </c>
      <c r="M65" s="2" t="s">
        <v>177</v>
      </c>
      <c r="N65" t="s">
        <v>20</v>
      </c>
      <c r="O65" t="s">
        <v>21</v>
      </c>
      <c r="P65" t="s">
        <v>22</v>
      </c>
    </row>
    <row r="66" spans="1:16" x14ac:dyDescent="0.25">
      <c r="A66" t="s">
        <v>16</v>
      </c>
      <c r="B66" t="s">
        <v>17</v>
      </c>
      <c r="C66" t="s">
        <v>18</v>
      </c>
      <c r="D66" s="1">
        <v>44614</v>
      </c>
      <c r="E66" s="2" t="s">
        <v>178</v>
      </c>
      <c r="F66" s="3" t="str">
        <f>HYPERLINK("https://maps.google.com/maps?q=4.80081,-75.74869&amp;ll=4.80081,-75.74869&amp;z=14.75z","Cra 28, 82, , San Joaquín, Pereira, Risaralda")</f>
        <v>Cra 28, 82, , San Joaquín, Pereira, Risaralda</v>
      </c>
      <c r="G66">
        <v>26</v>
      </c>
      <c r="H66">
        <v>138059</v>
      </c>
      <c r="I66">
        <v>-75.748689999999996</v>
      </c>
      <c r="J66">
        <v>4.8008100000000002</v>
      </c>
      <c r="K66" t="s">
        <v>33</v>
      </c>
      <c r="L66" s="1">
        <v>44614</v>
      </c>
      <c r="M66" s="2" t="s">
        <v>178</v>
      </c>
      <c r="N66" t="s">
        <v>20</v>
      </c>
      <c r="O66" t="s">
        <v>21</v>
      </c>
      <c r="P66" t="s">
        <v>22</v>
      </c>
    </row>
    <row r="67" spans="1:16" x14ac:dyDescent="0.25">
      <c r="A67" t="s">
        <v>16</v>
      </c>
      <c r="B67" t="s">
        <v>17</v>
      </c>
      <c r="C67" t="s">
        <v>18</v>
      </c>
      <c r="D67" s="1">
        <v>44614</v>
      </c>
      <c r="E67" s="2" t="s">
        <v>179</v>
      </c>
      <c r="F67" s="3" t="str">
        <f>HYPERLINK("https://maps.google.com/maps?q=4.79997,-75.74718&amp;ll=4.79997,-75.74718&amp;z=14.75z","Cra 28, , San Joaquín, Pereira, Risaralda")</f>
        <v>Cra 28, , San Joaquín, Pereira, Risaralda</v>
      </c>
      <c r="G67">
        <v>1</v>
      </c>
      <c r="H67">
        <v>138059</v>
      </c>
      <c r="I67">
        <v>-75.74718</v>
      </c>
      <c r="J67">
        <v>4.7999700000000001</v>
      </c>
      <c r="K67" t="s">
        <v>41</v>
      </c>
      <c r="L67" s="1">
        <v>44614</v>
      </c>
      <c r="M67" s="2" t="s">
        <v>179</v>
      </c>
      <c r="N67" t="s">
        <v>20</v>
      </c>
      <c r="O67" t="s">
        <v>21</v>
      </c>
      <c r="P67" t="s">
        <v>22</v>
      </c>
    </row>
    <row r="68" spans="1:16" x14ac:dyDescent="0.25">
      <c r="A68" t="s">
        <v>16</v>
      </c>
      <c r="B68" t="s">
        <v>17</v>
      </c>
      <c r="C68" t="s">
        <v>18</v>
      </c>
      <c r="D68" s="1">
        <v>44614</v>
      </c>
      <c r="E68" s="2" t="s">
        <v>180</v>
      </c>
      <c r="F68" s="3" t="str">
        <f>HYPERLINK("https://maps.google.com/maps?q=4.79997,-75.74718&amp;ll=4.79997,-75.74718&amp;z=14.75z","Cra 28, , San Joaquín, Pereira, Risaralda")</f>
        <v>Cra 28, , San Joaquín, Pereira, Risaralda</v>
      </c>
      <c r="G68">
        <v>0</v>
      </c>
      <c r="H68">
        <v>138059</v>
      </c>
      <c r="I68">
        <v>-75.74718</v>
      </c>
      <c r="J68">
        <v>4.7999700000000001</v>
      </c>
      <c r="K68" t="s">
        <v>41</v>
      </c>
      <c r="L68" s="1">
        <v>44614</v>
      </c>
      <c r="M68" s="2" t="s">
        <v>180</v>
      </c>
      <c r="N68" t="s">
        <v>20</v>
      </c>
      <c r="O68" t="s">
        <v>21</v>
      </c>
      <c r="P68" t="s">
        <v>22</v>
      </c>
    </row>
    <row r="69" spans="1:16" x14ac:dyDescent="0.25">
      <c r="A69" t="s">
        <v>16</v>
      </c>
      <c r="B69" t="s">
        <v>94</v>
      </c>
      <c r="C69" t="s">
        <v>18</v>
      </c>
      <c r="D69" s="1">
        <v>44614</v>
      </c>
      <c r="E69" s="2" t="s">
        <v>181</v>
      </c>
      <c r="F69" s="3" t="str">
        <f>HYPERLINK("https://maps.google.com/maps?q=4.79997,-75.74718&amp;ll=4.79997,-75.74718&amp;z=14.75z","Cra 28, , San Joaquín, Pereira, Risaralda")</f>
        <v>Cra 28, , San Joaquín, Pereira, Risaralda</v>
      </c>
      <c r="G69">
        <v>0</v>
      </c>
      <c r="H69">
        <v>138059</v>
      </c>
      <c r="I69">
        <v>-75.74718</v>
      </c>
      <c r="J69">
        <v>4.7999700000000001</v>
      </c>
      <c r="K69" t="s">
        <v>41</v>
      </c>
      <c r="L69" s="1">
        <v>44614</v>
      </c>
      <c r="M69" s="2" t="s">
        <v>181</v>
      </c>
      <c r="N69" t="s">
        <v>20</v>
      </c>
      <c r="O69" t="s">
        <v>21</v>
      </c>
      <c r="P69" t="s">
        <v>22</v>
      </c>
    </row>
    <row r="70" spans="1:16" x14ac:dyDescent="0.25">
      <c r="A70" t="s">
        <v>16</v>
      </c>
      <c r="B70" t="s">
        <v>94</v>
      </c>
      <c r="C70" t="s">
        <v>18</v>
      </c>
      <c r="D70" s="1">
        <v>44614</v>
      </c>
      <c r="E70" s="2" t="s">
        <v>181</v>
      </c>
      <c r="F70" s="3" t="str">
        <f>HYPERLINK("https://maps.google.com/maps?q=4.79997,-75.74718&amp;ll=4.79997,-75.74718&amp;z=14.75z","Cra 28, , San Joaquín, Pereira, Risaralda")</f>
        <v>Cra 28, , San Joaquín, Pereira, Risaralda</v>
      </c>
      <c r="G70">
        <v>0</v>
      </c>
      <c r="H70">
        <v>138059</v>
      </c>
      <c r="I70">
        <v>-75.74718</v>
      </c>
      <c r="J70">
        <v>4.7999700000000001</v>
      </c>
      <c r="K70" t="s">
        <v>41</v>
      </c>
      <c r="L70" s="1">
        <v>44614</v>
      </c>
      <c r="M70" s="2" t="s">
        <v>182</v>
      </c>
      <c r="N70" t="s">
        <v>20</v>
      </c>
      <c r="O70" t="s">
        <v>21</v>
      </c>
      <c r="P70" t="s">
        <v>22</v>
      </c>
    </row>
    <row r="71" spans="1:16" x14ac:dyDescent="0.25">
      <c r="A71" t="s">
        <v>16</v>
      </c>
      <c r="B71" t="s">
        <v>94</v>
      </c>
      <c r="C71" t="s">
        <v>18</v>
      </c>
      <c r="D71" s="1">
        <v>44614</v>
      </c>
      <c r="E71" s="2" t="s">
        <v>182</v>
      </c>
      <c r="F71" s="3" t="str">
        <f>HYPERLINK("https://maps.google.com/maps?q=4.79997,-75.74717&amp;ll=4.79997,-75.74717&amp;z=14.75z","Cra 28, , San Joaquín, Pereira, Risaralda")</f>
        <v>Cra 28, , San Joaquín, Pereira, Risaralda</v>
      </c>
      <c r="G71">
        <v>0</v>
      </c>
      <c r="H71">
        <v>138059</v>
      </c>
      <c r="I71">
        <v>-75.747169999999997</v>
      </c>
      <c r="J71">
        <v>4.7999700000000001</v>
      </c>
      <c r="K71" t="s">
        <v>41</v>
      </c>
      <c r="L71" s="1">
        <v>44614</v>
      </c>
      <c r="M71" s="2" t="s">
        <v>183</v>
      </c>
      <c r="N71" t="s">
        <v>20</v>
      </c>
      <c r="O71" t="s">
        <v>21</v>
      </c>
      <c r="P71" t="s">
        <v>22</v>
      </c>
    </row>
    <row r="72" spans="1:16" x14ac:dyDescent="0.25">
      <c r="A72" t="s">
        <v>16</v>
      </c>
      <c r="B72" t="s">
        <v>17</v>
      </c>
      <c r="C72" t="s">
        <v>18</v>
      </c>
      <c r="D72" s="1">
        <v>44614</v>
      </c>
      <c r="E72" s="2" t="s">
        <v>183</v>
      </c>
      <c r="F72" s="3" t="str">
        <f>HYPERLINK("https://maps.google.com/maps?q=4.79992,-75.74726&amp;ll=4.79992,-75.74726&amp;z=14.75z","Cra 28, , San Joaquín, Pereira, Risaralda")</f>
        <v>Cra 28, , San Joaquín, Pereira, Risaralda</v>
      </c>
      <c r="G72">
        <v>5</v>
      </c>
      <c r="H72">
        <v>138059</v>
      </c>
      <c r="I72">
        <v>-75.747259999999997</v>
      </c>
      <c r="J72">
        <v>4.7999200000000002</v>
      </c>
      <c r="K72" t="s">
        <v>31</v>
      </c>
      <c r="L72" s="1">
        <v>44614</v>
      </c>
      <c r="M72" s="2" t="s">
        <v>184</v>
      </c>
      <c r="N72" t="s">
        <v>20</v>
      </c>
      <c r="O72" t="s">
        <v>21</v>
      </c>
      <c r="P72" t="s">
        <v>22</v>
      </c>
    </row>
    <row r="73" spans="1:16" x14ac:dyDescent="0.25">
      <c r="A73" t="s">
        <v>16</v>
      </c>
      <c r="B73" t="s">
        <v>114</v>
      </c>
      <c r="C73" t="s">
        <v>18</v>
      </c>
      <c r="D73" s="1">
        <v>44614</v>
      </c>
      <c r="E73" s="2" t="s">
        <v>184</v>
      </c>
      <c r="F73" s="3" t="str">
        <f>HYPERLINK("https://maps.google.com/maps?q=4.79936,-75.74726&amp;ll=4.79936,-75.74726&amp;z=14.75z","Vía CEDI Pereira, , San Joaquín, Pereira, Risaralda")</f>
        <v>Vía CEDI Pereira, , San Joaquín, Pereira, Risaralda</v>
      </c>
      <c r="G73">
        <v>0</v>
      </c>
      <c r="H73">
        <v>138059</v>
      </c>
      <c r="I73">
        <v>-75.747259999999997</v>
      </c>
      <c r="J73">
        <v>4.7993600000000001</v>
      </c>
      <c r="K73" t="s">
        <v>33</v>
      </c>
      <c r="L73" s="1">
        <v>44614</v>
      </c>
      <c r="M73" s="2" t="s">
        <v>184</v>
      </c>
      <c r="N73" t="s">
        <v>20</v>
      </c>
      <c r="O73" t="s">
        <v>21</v>
      </c>
      <c r="P73" t="s">
        <v>22</v>
      </c>
    </row>
    <row r="74" spans="1:16" x14ac:dyDescent="0.25">
      <c r="A74" t="s">
        <v>16</v>
      </c>
      <c r="B74" t="s">
        <v>114</v>
      </c>
      <c r="C74" t="s">
        <v>115</v>
      </c>
      <c r="D74" s="1">
        <v>44614</v>
      </c>
      <c r="E74" s="2" t="s">
        <v>184</v>
      </c>
      <c r="F74" s="3" t="str">
        <f>HYPERLINK("https://maps.google.com/maps?q=4.79936,-75.74726&amp;ll=4.79936,-75.74726&amp;z=14.75z","Vía CEDI Pereira, , San Joaquín, Pereira, Risaralda")</f>
        <v>Vía CEDI Pereira, , San Joaquín, Pereira, Risaralda</v>
      </c>
      <c r="G74">
        <v>0</v>
      </c>
      <c r="H74">
        <v>138059</v>
      </c>
      <c r="I74">
        <v>-75.747259999999997</v>
      </c>
      <c r="J74">
        <v>4.7993600000000001</v>
      </c>
      <c r="K74" t="s">
        <v>33</v>
      </c>
      <c r="L74" s="1">
        <v>44614</v>
      </c>
      <c r="M74" s="2" t="s">
        <v>184</v>
      </c>
      <c r="N74" t="s">
        <v>20</v>
      </c>
      <c r="O74" t="s">
        <v>21</v>
      </c>
      <c r="P74" t="s">
        <v>22</v>
      </c>
    </row>
    <row r="75" spans="1:16" x14ac:dyDescent="0.25">
      <c r="A75" t="s">
        <v>16</v>
      </c>
      <c r="B75" t="s">
        <v>114</v>
      </c>
      <c r="C75" t="s">
        <v>193</v>
      </c>
      <c r="D75" s="1">
        <v>44614</v>
      </c>
      <c r="E75" s="2" t="s">
        <v>651</v>
      </c>
      <c r="F75" s="3" t="str">
        <f>HYPERLINK("https://maps.google.com/maps?q=4.7993,-75.74721&amp;ll=4.7993,-75.74721&amp;z=14.75z","Vía CEDI Pereira, , San Joaquín, Pereira, Risaralda")</f>
        <v>Vía CEDI Pereira, , San Joaquín, Pereira, Risaralda</v>
      </c>
      <c r="G75">
        <v>0</v>
      </c>
      <c r="H75">
        <v>138059</v>
      </c>
      <c r="I75">
        <v>-75.747209999999995</v>
      </c>
      <c r="J75">
        <v>4.7992999999999997</v>
      </c>
      <c r="K75" t="s">
        <v>33</v>
      </c>
      <c r="L75" s="1">
        <v>44614</v>
      </c>
      <c r="M75" s="2" t="s">
        <v>651</v>
      </c>
      <c r="N75" t="s">
        <v>20</v>
      </c>
      <c r="O75" t="s">
        <v>21</v>
      </c>
      <c r="P75" t="s">
        <v>22</v>
      </c>
    </row>
    <row r="76" spans="1:16" x14ac:dyDescent="0.25">
      <c r="A76" t="s">
        <v>16</v>
      </c>
      <c r="B76" t="s">
        <v>114</v>
      </c>
      <c r="C76" t="s">
        <v>186</v>
      </c>
      <c r="D76" s="1">
        <v>44614</v>
      </c>
      <c r="E76" s="2" t="s">
        <v>653</v>
      </c>
      <c r="F76" s="3" t="str">
        <f>HYPERLINK("https://maps.google.com/maps?q=4.79936,-75.74723&amp;ll=4.79936,-75.74723&amp;z=14.75z","Vía CEDI Pereira, , San Joaquín, Pereira, Risaralda")</f>
        <v>Vía CEDI Pereira, , San Joaquín, Pereira, Risaralda</v>
      </c>
      <c r="G76">
        <v>0</v>
      </c>
      <c r="H76">
        <v>138059</v>
      </c>
      <c r="I76">
        <v>-75.747230000000002</v>
      </c>
      <c r="J76">
        <v>4.7993600000000001</v>
      </c>
      <c r="K76" t="s">
        <v>33</v>
      </c>
      <c r="L76" s="1">
        <v>44614</v>
      </c>
      <c r="M76" s="2" t="s">
        <v>653</v>
      </c>
      <c r="N76" t="s">
        <v>20</v>
      </c>
      <c r="O76" t="s">
        <v>21</v>
      </c>
      <c r="P76" t="s">
        <v>22</v>
      </c>
    </row>
    <row r="77" spans="1:16" x14ac:dyDescent="0.25">
      <c r="A77" t="s">
        <v>16</v>
      </c>
      <c r="B77" t="s">
        <v>114</v>
      </c>
      <c r="C77" t="s">
        <v>186</v>
      </c>
      <c r="D77" s="1">
        <v>44614</v>
      </c>
      <c r="E77" s="2" t="s">
        <v>188</v>
      </c>
      <c r="F77" s="3" t="str">
        <f>HYPERLINK("https://maps.google.com/maps?q=4.79938,-75.74725&amp;ll=4.79938,-75.74725&amp;z=14.75z","Vía CEDI Pereira, , San Joaquín, Pereira, Risaralda")</f>
        <v>Vía CEDI Pereira, , San Joaquín, Pereira, Risaralda</v>
      </c>
      <c r="G77">
        <v>0</v>
      </c>
      <c r="H77">
        <v>138059</v>
      </c>
      <c r="I77">
        <v>-75.747249999999994</v>
      </c>
      <c r="J77">
        <v>4.7993800000000002</v>
      </c>
      <c r="K77" t="s">
        <v>33</v>
      </c>
      <c r="L77" s="1">
        <v>44614</v>
      </c>
      <c r="M77" s="2" t="s">
        <v>188</v>
      </c>
      <c r="N77" t="s">
        <v>20</v>
      </c>
      <c r="O77" t="s">
        <v>21</v>
      </c>
      <c r="P77" t="s">
        <v>22</v>
      </c>
    </row>
    <row r="78" spans="1:16" x14ac:dyDescent="0.25">
      <c r="A78" t="s">
        <v>16</v>
      </c>
      <c r="B78" t="s">
        <v>114</v>
      </c>
      <c r="C78" t="s">
        <v>193</v>
      </c>
      <c r="D78" s="1">
        <v>44614</v>
      </c>
      <c r="E78" s="2" t="s">
        <v>654</v>
      </c>
      <c r="F78" s="3" t="str">
        <f>HYPERLINK("https://maps.google.com/maps?q=4.79938,-75.74725&amp;ll=4.79938,-75.74725&amp;z=14.75z","Vía CEDI Pereira, , San Joaquín, Pereira, Risaralda")</f>
        <v>Vía CEDI Pereira, , San Joaquín, Pereira, Risaralda</v>
      </c>
      <c r="G78">
        <v>0</v>
      </c>
      <c r="H78">
        <v>138059</v>
      </c>
      <c r="I78">
        <v>-75.747249999999994</v>
      </c>
      <c r="J78">
        <v>4.7993800000000002</v>
      </c>
      <c r="K78" t="s">
        <v>33</v>
      </c>
      <c r="L78" s="1">
        <v>44614</v>
      </c>
      <c r="M78" s="2" t="s">
        <v>654</v>
      </c>
      <c r="N78" t="s">
        <v>20</v>
      </c>
      <c r="O78" t="s">
        <v>21</v>
      </c>
      <c r="P78" t="s">
        <v>22</v>
      </c>
    </row>
    <row r="79" spans="1:16" x14ac:dyDescent="0.25">
      <c r="A79" t="s">
        <v>16</v>
      </c>
      <c r="B79" t="s">
        <v>114</v>
      </c>
      <c r="C79" t="s">
        <v>186</v>
      </c>
      <c r="D79" s="1">
        <v>44614</v>
      </c>
      <c r="E79" s="2" t="s">
        <v>769</v>
      </c>
      <c r="F79" s="3" t="str">
        <f>HYPERLINK("https://maps.google.com/maps?q=4.79939,-75.74726&amp;ll=4.79939,-75.74726&amp;z=14.75z","Vía CEDI Pereira, , San Joaquín, Pereira, Risaralda")</f>
        <v>Vía CEDI Pereira, , San Joaquín, Pereira, Risaralda</v>
      </c>
      <c r="G79">
        <v>0</v>
      </c>
      <c r="H79">
        <v>138059</v>
      </c>
      <c r="I79">
        <v>-75.747259999999997</v>
      </c>
      <c r="J79">
        <v>4.7993899999999998</v>
      </c>
      <c r="K79" t="s">
        <v>33</v>
      </c>
      <c r="L79" s="1">
        <v>44614</v>
      </c>
      <c r="M79" s="2" t="s">
        <v>769</v>
      </c>
      <c r="N79" t="s">
        <v>20</v>
      </c>
      <c r="O79" t="s">
        <v>21</v>
      </c>
      <c r="P79" t="s">
        <v>22</v>
      </c>
    </row>
    <row r="80" spans="1:16" x14ac:dyDescent="0.25">
      <c r="A80" t="s">
        <v>16</v>
      </c>
      <c r="B80" t="s">
        <v>114</v>
      </c>
      <c r="C80" t="s">
        <v>186</v>
      </c>
      <c r="D80" s="1">
        <v>44614</v>
      </c>
      <c r="E80" s="2" t="s">
        <v>655</v>
      </c>
      <c r="F80" s="3" t="str">
        <f>HYPERLINK("https://maps.google.com/maps?q=4.79937,-75.74723&amp;ll=4.79937,-75.74723&amp;z=14.75z","Vía CEDI Pereira, , San Joaquín, Pereira, Risaralda")</f>
        <v>Vía CEDI Pereira, , San Joaquín, Pereira, Risaralda</v>
      </c>
      <c r="G80">
        <v>0</v>
      </c>
      <c r="H80">
        <v>138059</v>
      </c>
      <c r="I80">
        <v>-75.747230000000002</v>
      </c>
      <c r="J80">
        <v>4.7993699999999997</v>
      </c>
      <c r="K80" t="s">
        <v>33</v>
      </c>
      <c r="L80" s="1">
        <v>44614</v>
      </c>
      <c r="M80" s="2" t="s">
        <v>655</v>
      </c>
      <c r="N80" t="s">
        <v>20</v>
      </c>
      <c r="O80" t="s">
        <v>21</v>
      </c>
      <c r="P80" t="s">
        <v>22</v>
      </c>
    </row>
    <row r="81" spans="1:16" x14ac:dyDescent="0.25">
      <c r="A81" t="s">
        <v>16</v>
      </c>
      <c r="B81" t="s">
        <v>94</v>
      </c>
      <c r="C81" t="s">
        <v>116</v>
      </c>
      <c r="D81" s="1">
        <v>44614</v>
      </c>
      <c r="E81" s="2" t="s">
        <v>191</v>
      </c>
      <c r="F81" s="3" t="str">
        <f>HYPERLINK("https://maps.google.com/maps?q=4.79937,-75.74722&amp;ll=4.79937,-75.74722&amp;z=14.75z","Vía CEDI Pereira, , San Joaquín, Pereira, Risaralda")</f>
        <v>Vía CEDI Pereira, , San Joaquín, Pereira, Risaralda</v>
      </c>
      <c r="G81">
        <v>0</v>
      </c>
      <c r="H81">
        <v>138059</v>
      </c>
      <c r="I81">
        <v>-75.747219999999999</v>
      </c>
      <c r="J81">
        <v>4.7993699999999997</v>
      </c>
      <c r="K81" t="s">
        <v>33</v>
      </c>
      <c r="L81" s="1">
        <v>44614</v>
      </c>
      <c r="M81" s="2" t="s">
        <v>191</v>
      </c>
      <c r="N81" t="s">
        <v>20</v>
      </c>
      <c r="O81" t="s">
        <v>21</v>
      </c>
      <c r="P81" t="s">
        <v>22</v>
      </c>
    </row>
    <row r="82" spans="1:16" x14ac:dyDescent="0.25">
      <c r="A82" t="s">
        <v>16</v>
      </c>
      <c r="B82" t="s">
        <v>94</v>
      </c>
      <c r="C82" t="s">
        <v>18</v>
      </c>
      <c r="D82" s="1">
        <v>44614</v>
      </c>
      <c r="E82" s="2" t="s">
        <v>192</v>
      </c>
      <c r="F82" s="3" t="str">
        <f>HYPERLINK("https://maps.google.com/maps?q=4.79956,-75.74731&amp;ll=4.79956,-75.74731&amp;z=14.75z","Vía CEDI Pereira, , San Joaquín, Pereira, Risaralda")</f>
        <v>Vía CEDI Pereira, , San Joaquín, Pereira, Risaralda</v>
      </c>
      <c r="G82">
        <v>3</v>
      </c>
      <c r="H82">
        <v>138060</v>
      </c>
      <c r="I82">
        <v>-75.747309999999999</v>
      </c>
      <c r="J82">
        <v>4.7995599999999996</v>
      </c>
      <c r="K82" t="s">
        <v>33</v>
      </c>
      <c r="L82" s="1">
        <v>44614</v>
      </c>
      <c r="M82" s="2" t="s">
        <v>192</v>
      </c>
      <c r="N82" t="s">
        <v>20</v>
      </c>
      <c r="O82" t="s">
        <v>21</v>
      </c>
      <c r="P82" t="s">
        <v>22</v>
      </c>
    </row>
    <row r="83" spans="1:16" x14ac:dyDescent="0.25">
      <c r="A83" t="s">
        <v>16</v>
      </c>
      <c r="B83" t="s">
        <v>114</v>
      </c>
      <c r="C83" t="s">
        <v>115</v>
      </c>
      <c r="D83" s="1">
        <v>44614</v>
      </c>
      <c r="E83" s="2" t="s">
        <v>192</v>
      </c>
      <c r="F83" s="3" t="str">
        <f>HYPERLINK("https://maps.google.com/maps?q=4.7995,-75.74727&amp;ll=4.7995,-75.74727&amp;z=14.75z","Vía CEDI Pereira, , San Joaquín, Pereira, Risaralda")</f>
        <v>Vía CEDI Pereira, , San Joaquín, Pereira, Risaralda</v>
      </c>
      <c r="G83">
        <v>0</v>
      </c>
      <c r="H83">
        <v>138060</v>
      </c>
      <c r="I83">
        <v>-75.74727</v>
      </c>
      <c r="J83">
        <v>4.7995000000000001</v>
      </c>
      <c r="K83" t="s">
        <v>33</v>
      </c>
      <c r="L83" s="1">
        <v>44614</v>
      </c>
      <c r="M83" s="2" t="s">
        <v>192</v>
      </c>
      <c r="N83" t="s">
        <v>20</v>
      </c>
      <c r="O83" t="s">
        <v>21</v>
      </c>
      <c r="P83" t="s">
        <v>22</v>
      </c>
    </row>
    <row r="84" spans="1:16" x14ac:dyDescent="0.25">
      <c r="A84" t="s">
        <v>16</v>
      </c>
      <c r="B84" t="s">
        <v>114</v>
      </c>
      <c r="C84" t="s">
        <v>186</v>
      </c>
      <c r="D84" s="1">
        <v>44614</v>
      </c>
      <c r="E84" s="2" t="s">
        <v>770</v>
      </c>
      <c r="F84" s="3" t="str">
        <f>HYPERLINK("https://maps.google.com/maps?q=4.79951,-75.74731&amp;ll=4.79951,-75.74731&amp;z=14.75z","Vía CEDI Pereira, , San Joaquín, Pereira, Risaralda")</f>
        <v>Vía CEDI Pereira, , San Joaquín, Pereira, Risaralda</v>
      </c>
      <c r="G84">
        <v>0</v>
      </c>
      <c r="H84">
        <v>138060</v>
      </c>
      <c r="I84">
        <v>-75.747309999999999</v>
      </c>
      <c r="J84">
        <v>4.7995099999999997</v>
      </c>
      <c r="K84" t="s">
        <v>33</v>
      </c>
      <c r="L84" s="1">
        <v>44614</v>
      </c>
      <c r="M84" s="2" t="s">
        <v>770</v>
      </c>
      <c r="N84" t="s">
        <v>20</v>
      </c>
      <c r="O84" t="s">
        <v>21</v>
      </c>
      <c r="P84" t="s">
        <v>22</v>
      </c>
    </row>
    <row r="85" spans="1:16" x14ac:dyDescent="0.25">
      <c r="A85" t="s">
        <v>16</v>
      </c>
      <c r="B85" t="s">
        <v>114</v>
      </c>
      <c r="C85" t="s">
        <v>193</v>
      </c>
      <c r="D85" s="1">
        <v>44614</v>
      </c>
      <c r="E85" s="2" t="s">
        <v>331</v>
      </c>
      <c r="F85" s="3" t="str">
        <f>HYPERLINK("https://maps.google.com/maps?q=4.79953,-75.7473&amp;ll=4.79953,-75.7473&amp;z=14.75z","Vía CEDI Pereira, , San Joaquín, Pereira, Risaralda")</f>
        <v>Vía CEDI Pereira, , San Joaquín, Pereira, Risaralda</v>
      </c>
      <c r="G85">
        <v>0</v>
      </c>
      <c r="H85">
        <v>138060</v>
      </c>
      <c r="I85">
        <v>-75.747299999999996</v>
      </c>
      <c r="J85">
        <v>4.7995299999999999</v>
      </c>
      <c r="K85" t="s">
        <v>33</v>
      </c>
      <c r="L85" s="1">
        <v>44614</v>
      </c>
      <c r="M85" s="2" t="s">
        <v>771</v>
      </c>
      <c r="N85" t="s">
        <v>20</v>
      </c>
      <c r="O85" t="s">
        <v>21</v>
      </c>
      <c r="P85" t="s">
        <v>22</v>
      </c>
    </row>
    <row r="86" spans="1:16" x14ac:dyDescent="0.25">
      <c r="A86" t="s">
        <v>16</v>
      </c>
      <c r="B86" t="s">
        <v>114</v>
      </c>
      <c r="C86" t="s">
        <v>186</v>
      </c>
      <c r="D86" s="1">
        <v>44614</v>
      </c>
      <c r="E86" s="2" t="s">
        <v>782</v>
      </c>
      <c r="F86" s="3" t="str">
        <f>HYPERLINK("https://maps.google.com/maps?q=4.79952,-75.7473&amp;ll=4.79952,-75.7473&amp;z=14.75z","Vía CEDI Pereira, , San Joaquín, Pereira, Risaralda")</f>
        <v>Vía CEDI Pereira, , San Joaquín, Pereira, Risaralda</v>
      </c>
      <c r="G86">
        <v>0</v>
      </c>
      <c r="H86">
        <v>138060</v>
      </c>
      <c r="I86">
        <v>-75.747299999999996</v>
      </c>
      <c r="J86">
        <v>4.7995200000000002</v>
      </c>
      <c r="K86" t="s">
        <v>33</v>
      </c>
      <c r="L86" s="1">
        <v>44614</v>
      </c>
      <c r="M86" s="2" t="s">
        <v>783</v>
      </c>
      <c r="N86" t="s">
        <v>20</v>
      </c>
      <c r="O86" t="s">
        <v>21</v>
      </c>
      <c r="P86" t="s">
        <v>22</v>
      </c>
    </row>
    <row r="87" spans="1:16" x14ac:dyDescent="0.25">
      <c r="A87" t="s">
        <v>16</v>
      </c>
      <c r="B87" t="s">
        <v>114</v>
      </c>
      <c r="C87" t="s">
        <v>193</v>
      </c>
      <c r="D87" s="1">
        <v>44614</v>
      </c>
      <c r="E87" s="2" t="s">
        <v>784</v>
      </c>
      <c r="F87" s="3" t="str">
        <f>HYPERLINK("https://maps.google.com/maps?q=4.79953,-75.74732&amp;ll=4.79953,-75.74732&amp;z=14.75z","Vía CEDI Pereira, , San Joaquín, Pereira, Risaralda")</f>
        <v>Vía CEDI Pereira, , San Joaquín, Pereira, Risaralda</v>
      </c>
      <c r="G87">
        <v>0</v>
      </c>
      <c r="H87">
        <v>138060</v>
      </c>
      <c r="I87">
        <v>-75.747320000000002</v>
      </c>
      <c r="J87">
        <v>4.7995299999999999</v>
      </c>
      <c r="K87" t="s">
        <v>33</v>
      </c>
      <c r="L87" s="1">
        <v>44614</v>
      </c>
      <c r="M87" s="2" t="s">
        <v>784</v>
      </c>
      <c r="N87" t="s">
        <v>20</v>
      </c>
      <c r="O87" t="s">
        <v>21</v>
      </c>
      <c r="P87" t="s">
        <v>22</v>
      </c>
    </row>
    <row r="88" spans="1:16" x14ac:dyDescent="0.25">
      <c r="A88" t="s">
        <v>16</v>
      </c>
      <c r="B88" t="s">
        <v>114</v>
      </c>
      <c r="C88" t="s">
        <v>186</v>
      </c>
      <c r="D88" s="1">
        <v>44614</v>
      </c>
      <c r="E88" s="2" t="s">
        <v>773</v>
      </c>
      <c r="F88" s="3" t="str">
        <f>HYPERLINK("https://maps.google.com/maps?q=4.79952,-75.74735&amp;ll=4.79952,-75.74735&amp;z=14.75z","Vía CEDI Pereira, , San Joaquín, Pereira, Risaralda")</f>
        <v>Vía CEDI Pereira, , San Joaquín, Pereira, Risaralda</v>
      </c>
      <c r="G88">
        <v>0</v>
      </c>
      <c r="H88">
        <v>138060</v>
      </c>
      <c r="I88">
        <v>-75.747349999999997</v>
      </c>
      <c r="J88">
        <v>4.7995200000000002</v>
      </c>
      <c r="K88" t="s">
        <v>33</v>
      </c>
      <c r="L88" s="1">
        <v>44614</v>
      </c>
      <c r="M88" s="2" t="s">
        <v>773</v>
      </c>
      <c r="N88" t="s">
        <v>20</v>
      </c>
      <c r="O88" t="s">
        <v>21</v>
      </c>
      <c r="P88" t="s">
        <v>22</v>
      </c>
    </row>
    <row r="89" spans="1:16" x14ac:dyDescent="0.25">
      <c r="A89" t="s">
        <v>16</v>
      </c>
      <c r="B89" t="s">
        <v>94</v>
      </c>
      <c r="C89" t="s">
        <v>116</v>
      </c>
      <c r="D89" s="1">
        <v>44614</v>
      </c>
      <c r="E89" s="2" t="s">
        <v>656</v>
      </c>
      <c r="F89" s="3" t="str">
        <f>HYPERLINK("https://maps.google.com/maps?q=4.79953,-75.74737&amp;ll=4.79953,-75.74737&amp;z=14.75z","Vía CEDI Pereira, , San Joaquín, Pereira, Risaralda")</f>
        <v>Vía CEDI Pereira, , San Joaquín, Pereira, Risaralda</v>
      </c>
      <c r="G89">
        <v>0</v>
      </c>
      <c r="H89">
        <v>138060</v>
      </c>
      <c r="I89">
        <v>-75.747370000000004</v>
      </c>
      <c r="J89">
        <v>4.7995299999999999</v>
      </c>
      <c r="K89" t="s">
        <v>33</v>
      </c>
      <c r="L89" s="1">
        <v>44614</v>
      </c>
      <c r="M89" s="2" t="s">
        <v>656</v>
      </c>
      <c r="N89" t="s">
        <v>20</v>
      </c>
      <c r="O89" t="s">
        <v>21</v>
      </c>
      <c r="P89" t="s">
        <v>22</v>
      </c>
    </row>
    <row r="90" spans="1:16" x14ac:dyDescent="0.25">
      <c r="A90" t="s">
        <v>16</v>
      </c>
      <c r="B90" t="s">
        <v>94</v>
      </c>
      <c r="C90" t="s">
        <v>18</v>
      </c>
      <c r="D90" s="1">
        <v>44614</v>
      </c>
      <c r="E90" s="2" t="s">
        <v>657</v>
      </c>
      <c r="F90" s="3" t="str">
        <f>HYPERLINK("https://maps.google.com/maps?q=4.79971,-75.74747&amp;ll=4.79971,-75.74747&amp;z=14.75z","Cra 28, 81, Corales, Olímpica, Pereira, Risaralda")</f>
        <v>Cra 28, 81, Corales, Olímpica, Pereira, Risaralda</v>
      </c>
      <c r="G90">
        <v>2</v>
      </c>
      <c r="H90">
        <v>138060</v>
      </c>
      <c r="I90">
        <v>-75.747470000000007</v>
      </c>
      <c r="J90">
        <v>4.7997100000000001</v>
      </c>
      <c r="K90" t="s">
        <v>31</v>
      </c>
      <c r="L90" s="1">
        <v>44614</v>
      </c>
      <c r="M90" s="2" t="s">
        <v>657</v>
      </c>
      <c r="N90" t="s">
        <v>20</v>
      </c>
      <c r="O90" t="s">
        <v>21</v>
      </c>
      <c r="P90" t="s">
        <v>22</v>
      </c>
    </row>
    <row r="91" spans="1:16" x14ac:dyDescent="0.25">
      <c r="A91" t="s">
        <v>16</v>
      </c>
      <c r="B91" t="s">
        <v>94</v>
      </c>
      <c r="C91" t="s">
        <v>18</v>
      </c>
      <c r="D91" s="1">
        <v>44614</v>
      </c>
      <c r="E91" s="2" t="s">
        <v>332</v>
      </c>
      <c r="F91" s="3" t="str">
        <f>HYPERLINK("https://maps.google.com/maps?q=4.79967,-75.74749&amp;ll=4.79967,-75.74749&amp;z=14.75z","Cra 28, 81, Corales, Olímpica, Pereira, Risaralda")</f>
        <v>Cra 28, 81, Corales, Olímpica, Pereira, Risaralda</v>
      </c>
      <c r="G91">
        <v>0</v>
      </c>
      <c r="H91">
        <v>138060</v>
      </c>
      <c r="I91">
        <v>-75.747489999999999</v>
      </c>
      <c r="J91">
        <v>4.7996699999999999</v>
      </c>
      <c r="K91" t="s">
        <v>29</v>
      </c>
      <c r="L91" s="1">
        <v>44614</v>
      </c>
      <c r="M91" s="2" t="s">
        <v>332</v>
      </c>
      <c r="N91" t="s">
        <v>20</v>
      </c>
      <c r="O91" t="s">
        <v>21</v>
      </c>
      <c r="P91" t="s">
        <v>22</v>
      </c>
    </row>
    <row r="92" spans="1:16" x14ac:dyDescent="0.25">
      <c r="A92" t="s">
        <v>16</v>
      </c>
      <c r="B92" t="s">
        <v>114</v>
      </c>
      <c r="C92" t="s">
        <v>18</v>
      </c>
      <c r="D92" s="1">
        <v>44614</v>
      </c>
      <c r="E92" s="2" t="s">
        <v>658</v>
      </c>
      <c r="F92" s="3" t="str">
        <f>HYPERLINK("https://maps.google.com/maps?q=4.79967,-75.74756&amp;ll=4.79967,-75.74756&amp;z=14.75z","Cra 28, 81, Corales, Olímpica, Pereira, Risaralda")</f>
        <v>Cra 28, 81, Corales, Olímpica, Pereira, Risaralda</v>
      </c>
      <c r="G92">
        <v>0</v>
      </c>
      <c r="H92">
        <v>138060</v>
      </c>
      <c r="I92">
        <v>-75.747559999999993</v>
      </c>
      <c r="J92">
        <v>4.7996699999999999</v>
      </c>
      <c r="K92" t="s">
        <v>29</v>
      </c>
      <c r="L92" s="1">
        <v>44614</v>
      </c>
      <c r="M92" s="2" t="s">
        <v>658</v>
      </c>
      <c r="N92" t="s">
        <v>20</v>
      </c>
      <c r="O92" t="s">
        <v>21</v>
      </c>
      <c r="P92" t="s">
        <v>22</v>
      </c>
    </row>
    <row r="93" spans="1:16" x14ac:dyDescent="0.25">
      <c r="A93" t="s">
        <v>16</v>
      </c>
      <c r="B93" t="s">
        <v>114</v>
      </c>
      <c r="C93" t="s">
        <v>115</v>
      </c>
      <c r="D93" s="1">
        <v>44614</v>
      </c>
      <c r="E93" s="2" t="s">
        <v>658</v>
      </c>
      <c r="F93" s="3" t="str">
        <f>HYPERLINK("https://maps.google.com/maps?q=4.79967,-75.74756&amp;ll=4.79967,-75.74756&amp;z=14.75z","Cra 28, 81, Corales, Olímpica, Pereira, Risaralda")</f>
        <v>Cra 28, 81, Corales, Olímpica, Pereira, Risaralda</v>
      </c>
      <c r="G93">
        <v>0</v>
      </c>
      <c r="H93">
        <v>138060</v>
      </c>
      <c r="I93">
        <v>-75.747559999999993</v>
      </c>
      <c r="J93">
        <v>4.7996699999999999</v>
      </c>
      <c r="K93" t="s">
        <v>29</v>
      </c>
      <c r="L93" s="1">
        <v>44614</v>
      </c>
      <c r="M93" s="2" t="s">
        <v>658</v>
      </c>
      <c r="N93" t="s">
        <v>20</v>
      </c>
      <c r="O93" t="s">
        <v>21</v>
      </c>
      <c r="P93" t="s">
        <v>22</v>
      </c>
    </row>
    <row r="94" spans="1:16" x14ac:dyDescent="0.25">
      <c r="A94" t="s">
        <v>16</v>
      </c>
      <c r="B94" t="s">
        <v>114</v>
      </c>
      <c r="C94" t="s">
        <v>193</v>
      </c>
      <c r="D94" s="1">
        <v>44614</v>
      </c>
      <c r="E94" s="2" t="s">
        <v>659</v>
      </c>
      <c r="F94" s="3" t="str">
        <f>HYPERLINK("https://maps.google.com/maps?q=4.79963,-75.74753&amp;ll=4.79963,-75.74753&amp;z=14.75z","Cra 28, 81, Corales, Olímpica, Pereira, Risaralda")</f>
        <v>Cra 28, 81, Corales, Olímpica, Pereira, Risaralda</v>
      </c>
      <c r="G94">
        <v>0</v>
      </c>
      <c r="H94">
        <v>138060</v>
      </c>
      <c r="I94">
        <v>-75.747529999999998</v>
      </c>
      <c r="J94">
        <v>4.7996299999999996</v>
      </c>
      <c r="K94" t="s">
        <v>29</v>
      </c>
      <c r="L94" s="1">
        <v>44614</v>
      </c>
      <c r="M94" s="2" t="s">
        <v>659</v>
      </c>
      <c r="N94" t="s">
        <v>20</v>
      </c>
      <c r="O94" t="s">
        <v>21</v>
      </c>
      <c r="P94" t="s">
        <v>22</v>
      </c>
    </row>
    <row r="95" spans="1:16" x14ac:dyDescent="0.25">
      <c r="A95" t="s">
        <v>16</v>
      </c>
      <c r="B95" t="s">
        <v>94</v>
      </c>
      <c r="C95" t="s">
        <v>116</v>
      </c>
      <c r="D95" s="1">
        <v>44614</v>
      </c>
      <c r="E95" s="2" t="s">
        <v>774</v>
      </c>
      <c r="F95" s="3" t="str">
        <f>HYPERLINK("https://maps.google.com/maps?q=4.79964,-75.74753&amp;ll=4.79964,-75.74753&amp;z=14.75z","Cra 28, 81, Corales, Olímpica, Pereira, Risaralda")</f>
        <v>Cra 28, 81, Corales, Olímpica, Pereira, Risaralda</v>
      </c>
      <c r="G95">
        <v>0</v>
      </c>
      <c r="H95">
        <v>138060</v>
      </c>
      <c r="I95">
        <v>-75.747529999999998</v>
      </c>
      <c r="J95">
        <v>4.7996400000000001</v>
      </c>
      <c r="K95" t="s">
        <v>29</v>
      </c>
      <c r="L95" s="1">
        <v>44614</v>
      </c>
      <c r="M95" s="2" t="s">
        <v>774</v>
      </c>
      <c r="N95" t="s">
        <v>20</v>
      </c>
      <c r="O95" t="s">
        <v>21</v>
      </c>
      <c r="P95" t="s">
        <v>22</v>
      </c>
    </row>
    <row r="96" spans="1:16" x14ac:dyDescent="0.25">
      <c r="A96" t="s">
        <v>16</v>
      </c>
      <c r="B96" t="s">
        <v>94</v>
      </c>
      <c r="C96" t="s">
        <v>18</v>
      </c>
      <c r="D96" s="1">
        <v>44614</v>
      </c>
      <c r="E96" s="2" t="s">
        <v>775</v>
      </c>
      <c r="F96" s="3" t="str">
        <f>HYPERLINK("https://maps.google.com/maps?q=4.79963,-75.7475&amp;ll=4.79963,-75.7475&amp;z=14.75z","Cra 28, 81, Corales, Olímpica, Pereira, Risaralda")</f>
        <v>Cra 28, 81, Corales, Olímpica, Pereira, Risaralda</v>
      </c>
      <c r="G96">
        <v>0</v>
      </c>
      <c r="H96">
        <v>138060</v>
      </c>
      <c r="I96">
        <v>-75.747500000000002</v>
      </c>
      <c r="J96">
        <v>4.7996299999999996</v>
      </c>
      <c r="K96" t="s">
        <v>41</v>
      </c>
      <c r="L96" s="1">
        <v>44614</v>
      </c>
      <c r="M96" s="2" t="s">
        <v>775</v>
      </c>
      <c r="N96" t="s">
        <v>20</v>
      </c>
      <c r="O96" t="s">
        <v>21</v>
      </c>
      <c r="P96" t="s">
        <v>22</v>
      </c>
    </row>
    <row r="97" spans="1:16" x14ac:dyDescent="0.25">
      <c r="A97" t="s">
        <v>16</v>
      </c>
      <c r="B97" t="s">
        <v>17</v>
      </c>
      <c r="C97" t="s">
        <v>18</v>
      </c>
      <c r="D97" s="1">
        <v>44614</v>
      </c>
      <c r="E97" s="2" t="s">
        <v>776</v>
      </c>
      <c r="F97" s="3" t="str">
        <f>HYPERLINK("https://maps.google.com/maps?q=4.79973,-75.74734&amp;ll=4.79973,-75.74734&amp;z=14.75z","Cra 28, 81, Corales, Olímpica, Pereira, Risaralda")</f>
        <v>Cra 28, 81, Corales, Olímpica, Pereira, Risaralda</v>
      </c>
      <c r="G97">
        <v>5</v>
      </c>
      <c r="H97">
        <v>138060</v>
      </c>
      <c r="I97">
        <v>-75.747339999999994</v>
      </c>
      <c r="J97">
        <v>4.7997300000000003</v>
      </c>
      <c r="K97" t="s">
        <v>31</v>
      </c>
      <c r="L97" s="1">
        <v>44614</v>
      </c>
      <c r="M97" s="2" t="s">
        <v>776</v>
      </c>
      <c r="N97" t="s">
        <v>20</v>
      </c>
      <c r="O97" t="s">
        <v>21</v>
      </c>
      <c r="P97" t="s">
        <v>22</v>
      </c>
    </row>
    <row r="98" spans="1:16" x14ac:dyDescent="0.25">
      <c r="A98" t="s">
        <v>16</v>
      </c>
      <c r="B98" t="s">
        <v>114</v>
      </c>
      <c r="C98" t="s">
        <v>115</v>
      </c>
      <c r="D98" s="1">
        <v>44614</v>
      </c>
      <c r="E98" s="2" t="s">
        <v>776</v>
      </c>
      <c r="F98" s="3" t="str">
        <f>HYPERLINK("https://maps.google.com/maps?q=4.79953,-75.74741&amp;ll=4.79953,-75.74741&amp;z=14.75z","Vía CEDI Pereira, , San Joaquín, Pereira, Risaralda")</f>
        <v>Vía CEDI Pereira, , San Joaquín, Pereira, Risaralda</v>
      </c>
      <c r="G98">
        <v>0</v>
      </c>
      <c r="H98">
        <v>138060</v>
      </c>
      <c r="I98">
        <v>-75.747410000000002</v>
      </c>
      <c r="J98">
        <v>4.7995299999999999</v>
      </c>
      <c r="K98" t="s">
        <v>30</v>
      </c>
      <c r="L98" s="1">
        <v>44614</v>
      </c>
      <c r="M98" s="2" t="s">
        <v>777</v>
      </c>
      <c r="N98" t="s">
        <v>20</v>
      </c>
      <c r="O98" t="s">
        <v>21</v>
      </c>
      <c r="P98" t="s">
        <v>22</v>
      </c>
    </row>
    <row r="99" spans="1:16" x14ac:dyDescent="0.25">
      <c r="A99" t="s">
        <v>16</v>
      </c>
      <c r="B99" t="s">
        <v>94</v>
      </c>
      <c r="C99" t="s">
        <v>116</v>
      </c>
      <c r="D99" s="1">
        <v>44614</v>
      </c>
      <c r="E99" s="2" t="s">
        <v>194</v>
      </c>
      <c r="F99" s="3" t="str">
        <f>HYPERLINK("https://maps.google.com/maps?q=4.79952,-75.74741&amp;ll=4.79952,-75.74741&amp;z=14.75z","Vía CEDI Pereira, , San Joaquín, Pereira, Risaralda")</f>
        <v>Vía CEDI Pereira, , San Joaquín, Pereira, Risaralda</v>
      </c>
      <c r="G99">
        <v>0</v>
      </c>
      <c r="H99">
        <v>138060</v>
      </c>
      <c r="I99">
        <v>-75.747410000000002</v>
      </c>
      <c r="J99">
        <v>4.7995200000000002</v>
      </c>
      <c r="K99" t="s">
        <v>30</v>
      </c>
      <c r="L99" s="1">
        <v>44614</v>
      </c>
      <c r="M99" s="2" t="s">
        <v>194</v>
      </c>
      <c r="N99" t="s">
        <v>20</v>
      </c>
      <c r="O99" t="s">
        <v>21</v>
      </c>
      <c r="P99" t="s">
        <v>22</v>
      </c>
    </row>
    <row r="100" spans="1:16" x14ac:dyDescent="0.25">
      <c r="A100" t="s">
        <v>16</v>
      </c>
      <c r="B100" t="s">
        <v>94</v>
      </c>
      <c r="C100" t="s">
        <v>18</v>
      </c>
      <c r="D100" s="1">
        <v>44614</v>
      </c>
      <c r="E100" s="2" t="s">
        <v>195</v>
      </c>
      <c r="F100" s="3" t="str">
        <f>HYPERLINK("https://maps.google.com/maps?q=4.79952,-75.74741&amp;ll=4.79952,-75.74741&amp;z=14.75z","Vía CEDI Pereira, , San Joaquín, Pereira, Risaralda")</f>
        <v>Vía CEDI Pereira, , San Joaquín, Pereira, Risaralda</v>
      </c>
      <c r="G100">
        <v>0</v>
      </c>
      <c r="H100">
        <v>138060</v>
      </c>
      <c r="I100">
        <v>-75.747410000000002</v>
      </c>
      <c r="J100">
        <v>4.7995200000000002</v>
      </c>
      <c r="K100" t="s">
        <v>30</v>
      </c>
      <c r="L100" s="1">
        <v>44614</v>
      </c>
      <c r="M100" s="2" t="s">
        <v>195</v>
      </c>
      <c r="N100" t="s">
        <v>20</v>
      </c>
      <c r="O100" t="s">
        <v>21</v>
      </c>
      <c r="P100" t="s">
        <v>22</v>
      </c>
    </row>
    <row r="101" spans="1:16" x14ac:dyDescent="0.25">
      <c r="A101" t="s">
        <v>16</v>
      </c>
      <c r="B101" t="s">
        <v>17</v>
      </c>
      <c r="C101" t="s">
        <v>18</v>
      </c>
      <c r="D101" s="1">
        <v>44614</v>
      </c>
      <c r="E101" s="2" t="s">
        <v>196</v>
      </c>
      <c r="F101" s="3" t="str">
        <f>HYPERLINK("https://maps.google.com/maps?q=4.79964,-75.74635&amp;ll=4.79964,-75.74635&amp;z=14.75z","Cra 28, 81, Corales, Olímpica, Pereira, Risaralda")</f>
        <v>Cra 28, 81, Corales, Olímpica, Pereira, Risaralda</v>
      </c>
      <c r="G101">
        <v>35</v>
      </c>
      <c r="H101">
        <v>138060</v>
      </c>
      <c r="I101">
        <v>-75.746350000000007</v>
      </c>
      <c r="J101">
        <v>4.7996400000000001</v>
      </c>
      <c r="K101" t="s">
        <v>41</v>
      </c>
      <c r="L101" s="1">
        <v>44614</v>
      </c>
      <c r="M101" s="2" t="s">
        <v>196</v>
      </c>
      <c r="N101" t="s">
        <v>20</v>
      </c>
      <c r="O101" t="s">
        <v>21</v>
      </c>
      <c r="P101" t="s">
        <v>22</v>
      </c>
    </row>
    <row r="102" spans="1:16" x14ac:dyDescent="0.25">
      <c r="A102" t="s">
        <v>16</v>
      </c>
      <c r="B102" t="s">
        <v>17</v>
      </c>
      <c r="C102" t="s">
        <v>18</v>
      </c>
      <c r="D102" s="1">
        <v>44614</v>
      </c>
      <c r="E102" s="2" t="s">
        <v>197</v>
      </c>
      <c r="F102" s="3" t="str">
        <f>HYPERLINK("https://maps.google.com/maps?q=4.79954,-75.74335&amp;ll=4.79954,-75.74335&amp;z=14.75z","Cra 28, Corales, Olímpica, Pereira, Risaralda")</f>
        <v>Cra 28, Corales, Olímpica, Pereira, Risaralda</v>
      </c>
      <c r="G102">
        <v>10</v>
      </c>
      <c r="H102">
        <v>138060</v>
      </c>
      <c r="I102">
        <v>-75.743350000000007</v>
      </c>
      <c r="J102">
        <v>4.7995400000000004</v>
      </c>
      <c r="K102" t="s">
        <v>41</v>
      </c>
      <c r="L102" s="1">
        <v>44614</v>
      </c>
      <c r="M102" s="2" t="s">
        <v>197</v>
      </c>
      <c r="N102" t="s">
        <v>20</v>
      </c>
      <c r="O102" t="s">
        <v>21</v>
      </c>
      <c r="P102" t="s">
        <v>22</v>
      </c>
    </row>
    <row r="103" spans="1:16" x14ac:dyDescent="0.25">
      <c r="A103" t="s">
        <v>16</v>
      </c>
      <c r="B103" t="s">
        <v>17</v>
      </c>
      <c r="C103" t="s">
        <v>18</v>
      </c>
      <c r="D103" s="1">
        <v>44614</v>
      </c>
      <c r="E103" s="2" t="s">
        <v>200</v>
      </c>
      <c r="F103" s="3" t="str">
        <f>HYPERLINK("https://maps.google.com/maps?q=4.79975,-75.7428&amp;ll=4.79975,-75.7428&amp;z=14.75z","Vía Urbana Pereira, Altos de Corales, San Joaquín, Pereira, Risaralda")</f>
        <v>Vía Urbana Pereira, Altos de Corales, San Joaquín, Pereira, Risaralda</v>
      </c>
      <c r="G103">
        <v>5</v>
      </c>
      <c r="H103">
        <v>138060</v>
      </c>
      <c r="I103">
        <v>-75.742800000000003</v>
      </c>
      <c r="J103">
        <v>4.7997500000000004</v>
      </c>
      <c r="K103" t="s">
        <v>41</v>
      </c>
      <c r="L103" s="1">
        <v>44614</v>
      </c>
      <c r="M103" s="2" t="s">
        <v>200</v>
      </c>
      <c r="N103" t="s">
        <v>20</v>
      </c>
      <c r="O103" t="s">
        <v>21</v>
      </c>
      <c r="P103" t="s">
        <v>22</v>
      </c>
    </row>
    <row r="104" spans="1:16" x14ac:dyDescent="0.25">
      <c r="A104" t="s">
        <v>16</v>
      </c>
      <c r="B104" t="s">
        <v>17</v>
      </c>
      <c r="C104" t="s">
        <v>18</v>
      </c>
      <c r="D104" s="1">
        <v>44614</v>
      </c>
      <c r="E104" s="2" t="s">
        <v>198</v>
      </c>
      <c r="F104" s="3" t="str">
        <f>HYPERLINK("https://maps.google.com/maps?q=4.80099,-75.74987&amp;ll=4.80099,-75.74987&amp;z=14.75z","Cra 28, 84, Corales, Olímpica, Pereira, Risaralda")</f>
        <v>Cra 28, 84, Corales, Olímpica, Pereira, Risaralda</v>
      </c>
      <c r="G104">
        <v>20</v>
      </c>
      <c r="H104">
        <v>138061</v>
      </c>
      <c r="I104">
        <v>-75.749870000000001</v>
      </c>
      <c r="J104">
        <v>4.8009899999999996</v>
      </c>
      <c r="K104" t="s">
        <v>29</v>
      </c>
      <c r="L104" s="1">
        <v>44614</v>
      </c>
      <c r="M104" s="2" t="s">
        <v>199</v>
      </c>
      <c r="N104" t="s">
        <v>20</v>
      </c>
      <c r="O104" t="s">
        <v>21</v>
      </c>
      <c r="P104" t="s">
        <v>22</v>
      </c>
    </row>
    <row r="105" spans="1:16" x14ac:dyDescent="0.25">
      <c r="A105" t="s">
        <v>16</v>
      </c>
      <c r="B105" t="s">
        <v>17</v>
      </c>
      <c r="C105" t="s">
        <v>18</v>
      </c>
      <c r="D105" s="1">
        <v>44614</v>
      </c>
      <c r="E105" s="2" t="s">
        <v>199</v>
      </c>
      <c r="F105" s="3" t="str">
        <f>HYPERLINK("https://maps.google.com/maps?q=4.80087,-75.75052&amp;ll=4.80087,-75.75052&amp;z=14.75z","Cra 28, 84, Corales, Olímpica, Pereira, Risaralda")</f>
        <v>Cra 28, 84, Corales, Olímpica, Pereira, Risaralda</v>
      </c>
      <c r="G105">
        <v>0</v>
      </c>
      <c r="H105">
        <v>138061</v>
      </c>
      <c r="I105">
        <v>-75.750519999999995</v>
      </c>
      <c r="J105">
        <v>4.8008699999999997</v>
      </c>
      <c r="K105" t="s">
        <v>29</v>
      </c>
      <c r="L105" s="1">
        <v>44614</v>
      </c>
      <c r="M105" s="2" t="s">
        <v>199</v>
      </c>
      <c r="N105" t="s">
        <v>20</v>
      </c>
      <c r="O105" t="s">
        <v>21</v>
      </c>
      <c r="P105" t="s">
        <v>22</v>
      </c>
    </row>
    <row r="106" spans="1:16" x14ac:dyDescent="0.25">
      <c r="A106" t="s">
        <v>16</v>
      </c>
      <c r="B106" t="s">
        <v>17</v>
      </c>
      <c r="C106" t="s">
        <v>18</v>
      </c>
      <c r="D106" s="1">
        <v>44614</v>
      </c>
      <c r="E106" s="2" t="s">
        <v>201</v>
      </c>
      <c r="F106" s="3" t="str">
        <f>HYPERLINK("https://maps.google.com/maps?q=4.80058,-75.75364&amp;ll=4.80058,-75.75364&amp;z=14.75z","Cra 28, 84, , Olímpica, Pereira, Risaralda")</f>
        <v>Cra 28, 84, , Olímpica, Pereira, Risaralda</v>
      </c>
      <c r="G106">
        <v>35</v>
      </c>
      <c r="H106">
        <v>138062</v>
      </c>
      <c r="I106">
        <v>-75.753640000000004</v>
      </c>
      <c r="J106">
        <v>4.8005800000000001</v>
      </c>
      <c r="K106" t="s">
        <v>29</v>
      </c>
      <c r="L106" s="1">
        <v>44614</v>
      </c>
      <c r="M106" s="2" t="s">
        <v>201</v>
      </c>
      <c r="N106" t="s">
        <v>20</v>
      </c>
      <c r="O106" t="s">
        <v>21</v>
      </c>
      <c r="P106" t="s">
        <v>22</v>
      </c>
    </row>
    <row r="107" spans="1:16" x14ac:dyDescent="0.25">
      <c r="A107" t="s">
        <v>16</v>
      </c>
      <c r="B107" t="s">
        <v>17</v>
      </c>
      <c r="C107" t="s">
        <v>18</v>
      </c>
      <c r="D107" s="1">
        <v>44614</v>
      </c>
      <c r="E107" s="2" t="s">
        <v>202</v>
      </c>
      <c r="F107" s="3" t="str">
        <f>HYPERLINK("https://maps.google.com/maps?q=4.80066,-75.75824&amp;ll=4.80066,-75.75824&amp;z=14.75z","Cra 28, , Olímpica, Pereira, Risaralda")</f>
        <v>Cra 28, , Olímpica, Pereira, Risaralda</v>
      </c>
      <c r="G107">
        <v>41</v>
      </c>
      <c r="H107">
        <v>138062</v>
      </c>
      <c r="I107">
        <v>-75.758240000000001</v>
      </c>
      <c r="J107">
        <v>4.8006599999999997</v>
      </c>
      <c r="K107" t="s">
        <v>19</v>
      </c>
      <c r="L107" s="1">
        <v>44614</v>
      </c>
      <c r="M107" s="2" t="s">
        <v>202</v>
      </c>
      <c r="N107" t="s">
        <v>20</v>
      </c>
      <c r="O107" t="s">
        <v>21</v>
      </c>
      <c r="P107" t="s">
        <v>22</v>
      </c>
    </row>
    <row r="108" spans="1:16" x14ac:dyDescent="0.25">
      <c r="A108" t="s">
        <v>16</v>
      </c>
      <c r="B108" t="s">
        <v>17</v>
      </c>
      <c r="C108" t="s">
        <v>18</v>
      </c>
      <c r="D108" s="1">
        <v>44614</v>
      </c>
      <c r="E108" s="2" t="s">
        <v>203</v>
      </c>
      <c r="F108" s="3" t="str">
        <f>HYPERLINK("https://maps.google.com/maps?q=4.80487,-75.76052&amp;ll=4.80487,-75.76052&amp;z=14.75z","Av de Las Américas, Km 0.34 Urb Coralina - Av 30 Ago, , Olímpica, Pereira, Risaralda")</f>
        <v>Av de Las Américas, Km 0.34 Urb Coralina - Av 30 Ago, , Olímpica, Pereira, Risaralda</v>
      </c>
      <c r="G108">
        <v>36</v>
      </c>
      <c r="H108">
        <v>138063</v>
      </c>
      <c r="I108">
        <v>-75.76052</v>
      </c>
      <c r="J108">
        <v>4.8048700000000002</v>
      </c>
      <c r="K108" t="s">
        <v>19</v>
      </c>
      <c r="L108" s="1">
        <v>44614</v>
      </c>
      <c r="M108" s="2" t="s">
        <v>203</v>
      </c>
      <c r="N108" t="s">
        <v>20</v>
      </c>
      <c r="O108" t="s">
        <v>21</v>
      </c>
      <c r="P108" t="s">
        <v>22</v>
      </c>
    </row>
    <row r="109" spans="1:16" x14ac:dyDescent="0.25">
      <c r="A109" t="s">
        <v>16</v>
      </c>
      <c r="B109" t="s">
        <v>17</v>
      </c>
      <c r="C109" t="s">
        <v>18</v>
      </c>
      <c r="D109" s="1">
        <v>44614</v>
      </c>
      <c r="E109" s="2" t="s">
        <v>204</v>
      </c>
      <c r="F109" s="3" t="str">
        <f>HYPERLINK("https://maps.google.com/maps?q=4.80782,-75.76451&amp;ll=4.80782,-75.76451&amp;z=14.75z","Av de Las Américas, Km 0.6 Av 30 Ago - Urb Coralina, , Olímpica, Pereira, Risaralda")</f>
        <v>Av de Las Américas, Km 0.6 Av 30 Ago - Urb Coralina, , Olímpica, Pereira, Risaralda</v>
      </c>
      <c r="G109">
        <v>48</v>
      </c>
      <c r="H109">
        <v>138063</v>
      </c>
      <c r="I109">
        <v>-75.764510000000001</v>
      </c>
      <c r="J109">
        <v>4.8078200000000004</v>
      </c>
      <c r="K109" t="s">
        <v>19</v>
      </c>
      <c r="L109" s="1">
        <v>44614</v>
      </c>
      <c r="M109" s="2" t="s">
        <v>204</v>
      </c>
      <c r="N109" t="s">
        <v>20</v>
      </c>
      <c r="O109" t="s">
        <v>21</v>
      </c>
      <c r="P109" t="s">
        <v>22</v>
      </c>
    </row>
    <row r="110" spans="1:16" x14ac:dyDescent="0.25">
      <c r="A110" t="s">
        <v>16</v>
      </c>
      <c r="B110" t="s">
        <v>17</v>
      </c>
      <c r="C110" t="s">
        <v>18</v>
      </c>
      <c r="D110" s="1">
        <v>44614</v>
      </c>
      <c r="E110" s="2" t="s">
        <v>205</v>
      </c>
      <c r="F110" s="3" t="str">
        <f>HYPERLINK("https://maps.google.com/maps?q=4.81097,-75.76661&amp;ll=4.81097,-75.76661&amp;z=14.75z","Av de Las Américas, Km 1.52 Urb Coralina - Av 30 Ago, , Olímpica, Pereira, Risaralda")</f>
        <v>Av de Las Américas, Km 1.52 Urb Coralina - Av 30 Ago, , Olímpica, Pereira, Risaralda</v>
      </c>
      <c r="G110">
        <v>27</v>
      </c>
      <c r="H110">
        <v>138064</v>
      </c>
      <c r="I110">
        <v>-75.76661</v>
      </c>
      <c r="J110">
        <v>4.8109700000000002</v>
      </c>
      <c r="K110" t="s">
        <v>23</v>
      </c>
      <c r="L110" s="1">
        <v>44614</v>
      </c>
      <c r="M110" s="2" t="s">
        <v>205</v>
      </c>
      <c r="N110" t="s">
        <v>20</v>
      </c>
      <c r="O110" t="s">
        <v>21</v>
      </c>
      <c r="P110" t="s">
        <v>22</v>
      </c>
    </row>
    <row r="111" spans="1:16" x14ac:dyDescent="0.25">
      <c r="A111" t="s">
        <v>16</v>
      </c>
      <c r="B111" t="s">
        <v>17</v>
      </c>
      <c r="C111" t="s">
        <v>18</v>
      </c>
      <c r="D111" s="1">
        <v>44614</v>
      </c>
      <c r="E111" s="2" t="s">
        <v>207</v>
      </c>
      <c r="F111" s="3" t="str">
        <f>HYPERLINK("https://maps.google.com/maps?q=4.81413,-75.76603&amp;ll=4.81413,-75.76603&amp;z=14.75z","Vte Romelia El Pollo, Km 0.21 Mercasa - Estadio, , Ferrocarril, Pereira, Risaralda")</f>
        <v>Vte Romelia El Pollo, Km 0.21 Mercasa - Estadio, , Ferrocarril, Pereira, Risaralda</v>
      </c>
      <c r="G111">
        <v>39</v>
      </c>
      <c r="H111">
        <v>138064</v>
      </c>
      <c r="I111">
        <v>-75.766030000000001</v>
      </c>
      <c r="J111">
        <v>4.8141299999999996</v>
      </c>
      <c r="K111" t="s">
        <v>24</v>
      </c>
      <c r="L111" s="1">
        <v>44614</v>
      </c>
      <c r="M111" s="2" t="s">
        <v>206</v>
      </c>
      <c r="N111" t="s">
        <v>20</v>
      </c>
      <c r="O111" t="s">
        <v>21</v>
      </c>
      <c r="P111" t="s">
        <v>22</v>
      </c>
    </row>
    <row r="112" spans="1:16" x14ac:dyDescent="0.25">
      <c r="A112" t="s">
        <v>16</v>
      </c>
      <c r="B112" t="s">
        <v>17</v>
      </c>
      <c r="C112" t="s">
        <v>18</v>
      </c>
      <c r="D112" s="1">
        <v>44614</v>
      </c>
      <c r="E112" s="2" t="s">
        <v>207</v>
      </c>
      <c r="F112" s="3" t="str">
        <f>HYPERLINK("https://maps.google.com/maps?q=4.81413,-75.76603&amp;ll=4.81413,-75.76603&amp;z=14.75z","Vte Romelia El Pollo, Km 0.21 Mercasa - Estadio, , Ferrocarril, Pereira, Risaralda")</f>
        <v>Vte Romelia El Pollo, Km 0.21 Mercasa - Estadio, , Ferrocarril, Pereira, Risaralda</v>
      </c>
      <c r="G112">
        <v>39</v>
      </c>
      <c r="H112">
        <v>138064</v>
      </c>
      <c r="I112">
        <v>-75.766030000000001</v>
      </c>
      <c r="J112">
        <v>4.8141299999999996</v>
      </c>
      <c r="K112" t="s">
        <v>24</v>
      </c>
      <c r="L112" s="1">
        <v>44614</v>
      </c>
      <c r="M112" s="2" t="s">
        <v>208</v>
      </c>
      <c r="N112" t="s">
        <v>20</v>
      </c>
      <c r="O112" t="s">
        <v>21</v>
      </c>
      <c r="P112" t="s">
        <v>22</v>
      </c>
    </row>
    <row r="113" spans="1:16" x14ac:dyDescent="0.25">
      <c r="A113" t="s">
        <v>16</v>
      </c>
      <c r="B113" t="s">
        <v>17</v>
      </c>
      <c r="C113" t="s">
        <v>18</v>
      </c>
      <c r="D113" s="1">
        <v>44614</v>
      </c>
      <c r="E113" s="2" t="s">
        <v>206</v>
      </c>
      <c r="F113" s="3" t="str">
        <f>HYPERLINK("https://maps.google.com/maps?q=4.81415,-75.76082&amp;ll=4.81415,-75.76082&amp;z=14.75z","Vte Romelia El Pollo, Km 0.87 Mercasa - Estadio, , Ferrocarril, Pereira, Risaralda")</f>
        <v>Vte Romelia El Pollo, Km 0.87 Mercasa - Estadio, , Ferrocarril, Pereira, Risaralda</v>
      </c>
      <c r="G113">
        <v>34</v>
      </c>
      <c r="H113">
        <v>138065</v>
      </c>
      <c r="I113">
        <v>-75.760819999999995</v>
      </c>
      <c r="J113">
        <v>4.8141499999999997</v>
      </c>
      <c r="K113" t="s">
        <v>41</v>
      </c>
      <c r="L113" s="1">
        <v>44614</v>
      </c>
      <c r="M113" s="2" t="s">
        <v>208</v>
      </c>
      <c r="N113" t="s">
        <v>20</v>
      </c>
      <c r="O113" t="s">
        <v>21</v>
      </c>
      <c r="P113" t="s">
        <v>22</v>
      </c>
    </row>
    <row r="114" spans="1:16" x14ac:dyDescent="0.25">
      <c r="A114" t="s">
        <v>16</v>
      </c>
      <c r="B114" t="s">
        <v>17</v>
      </c>
      <c r="C114" t="s">
        <v>27</v>
      </c>
      <c r="D114" s="1">
        <v>44614</v>
      </c>
      <c r="E114" s="2" t="s">
        <v>206</v>
      </c>
      <c r="F114" s="3" t="str">
        <f>HYPERLINK("https://maps.google.com/maps?q=4.81392,-75.7581&amp;ll=4.81392,-75.7581&amp;z=14.75z","Vte Romelia El Pollo, Km 1.16 Mercasa - Estadio, , Ferrocarril, Pereira, Risaralda")</f>
        <v>Vte Romelia El Pollo, Km 1.16 Mercasa - Estadio, , Ferrocarril, Pereira, Risaralda</v>
      </c>
      <c r="G114">
        <v>53</v>
      </c>
      <c r="H114">
        <v>138065</v>
      </c>
      <c r="I114">
        <v>-75.758099999999999</v>
      </c>
      <c r="J114">
        <v>4.8139200000000004</v>
      </c>
      <c r="K114" t="s">
        <v>41</v>
      </c>
      <c r="L114" s="1">
        <v>44614</v>
      </c>
      <c r="M114" s="2" t="s">
        <v>208</v>
      </c>
      <c r="N114" t="s">
        <v>20</v>
      </c>
      <c r="O114" t="s">
        <v>21</v>
      </c>
      <c r="P114" t="s">
        <v>22</v>
      </c>
    </row>
    <row r="115" spans="1:16" x14ac:dyDescent="0.25">
      <c r="A115" t="s">
        <v>16</v>
      </c>
      <c r="B115" t="s">
        <v>17</v>
      </c>
      <c r="C115" t="s">
        <v>18</v>
      </c>
      <c r="D115" s="1">
        <v>44614</v>
      </c>
      <c r="E115" s="2" t="s">
        <v>208</v>
      </c>
      <c r="F115" s="3" t="str">
        <f>HYPERLINK("https://maps.google.com/maps?q=4.81286,-75.7546&amp;ll=4.81286,-75.7546&amp;z=14.75z","Vte Romelia El Pollo, Km 1.55 Mercasa - Estadio, , Ferrocarril, Pereira, Risaralda")</f>
        <v>Vte Romelia El Pollo, Km 1.55 Mercasa - Estadio, , Ferrocarril, Pereira, Risaralda</v>
      </c>
      <c r="G115">
        <v>41</v>
      </c>
      <c r="H115">
        <v>138065</v>
      </c>
      <c r="I115">
        <v>-75.754599999999996</v>
      </c>
      <c r="J115">
        <v>4.8128599999999997</v>
      </c>
      <c r="K115" t="s">
        <v>33</v>
      </c>
      <c r="L115" s="1">
        <v>44614</v>
      </c>
      <c r="M115" s="2" t="s">
        <v>778</v>
      </c>
      <c r="N115" t="s">
        <v>20</v>
      </c>
      <c r="O115" t="s">
        <v>21</v>
      </c>
      <c r="P115" t="s">
        <v>22</v>
      </c>
    </row>
    <row r="116" spans="1:16" x14ac:dyDescent="0.25">
      <c r="A116" t="s">
        <v>16</v>
      </c>
      <c r="B116" t="s">
        <v>17</v>
      </c>
      <c r="C116" t="s">
        <v>18</v>
      </c>
      <c r="D116" s="1">
        <v>44614</v>
      </c>
      <c r="E116" s="2" t="s">
        <v>778</v>
      </c>
      <c r="F116" s="3" t="str">
        <f>HYPERLINK("https://maps.google.com/maps?q=4.81318,-75.74775&amp;ll=4.81318,-75.74775&amp;z=14.75z","Vte Romelia El Pollo, Km 1.95 Mercasa - Estadio, , Ferrocarril, Pereira, Risaralda")</f>
        <v>Vte Romelia El Pollo, Km 1.95 Mercasa - Estadio, , Ferrocarril, Pereira, Risaralda</v>
      </c>
      <c r="G116">
        <v>51</v>
      </c>
      <c r="H116">
        <v>138066</v>
      </c>
      <c r="I116">
        <v>-75.747749999999996</v>
      </c>
      <c r="J116">
        <v>4.81318</v>
      </c>
      <c r="K116" t="s">
        <v>41</v>
      </c>
      <c r="L116" s="1">
        <v>44614</v>
      </c>
      <c r="M116" s="2" t="s">
        <v>778</v>
      </c>
      <c r="N116" t="s">
        <v>20</v>
      </c>
      <c r="O116" t="s">
        <v>21</v>
      </c>
      <c r="P116" t="s">
        <v>22</v>
      </c>
    </row>
    <row r="117" spans="1:16" x14ac:dyDescent="0.25">
      <c r="A117" t="s">
        <v>16</v>
      </c>
      <c r="B117" t="s">
        <v>17</v>
      </c>
      <c r="C117" t="s">
        <v>18</v>
      </c>
      <c r="D117" s="1">
        <v>44614</v>
      </c>
      <c r="E117" s="2" t="s">
        <v>333</v>
      </c>
      <c r="F117" s="3" t="str">
        <f>HYPERLINK("https://maps.google.com/maps?q=4.81639,-75.7426&amp;ll=4.81639,-75.7426&amp;z=14.75z","Vte Romelia El Pollo, Km 2.98 Mercasa - Estadio, , Ferrocarril, Pereira, Risaralda")</f>
        <v>Vte Romelia El Pollo, Km 2.98 Mercasa - Estadio, , Ferrocarril, Pereira, Risaralda</v>
      </c>
      <c r="G117">
        <v>44</v>
      </c>
      <c r="H117">
        <v>138067</v>
      </c>
      <c r="I117">
        <v>-75.742599999999996</v>
      </c>
      <c r="J117">
        <v>4.8163900000000002</v>
      </c>
      <c r="K117" t="s">
        <v>24</v>
      </c>
      <c r="L117" s="1">
        <v>44614</v>
      </c>
      <c r="M117" s="2" t="s">
        <v>333</v>
      </c>
      <c r="N117" t="s">
        <v>20</v>
      </c>
      <c r="O117" t="s">
        <v>21</v>
      </c>
      <c r="P117" t="s">
        <v>22</v>
      </c>
    </row>
    <row r="118" spans="1:16" x14ac:dyDescent="0.25">
      <c r="A118" t="s">
        <v>16</v>
      </c>
      <c r="B118" t="s">
        <v>17</v>
      </c>
      <c r="C118" t="s">
        <v>18</v>
      </c>
      <c r="D118" s="1">
        <v>44614</v>
      </c>
      <c r="E118" s="2" t="s">
        <v>334</v>
      </c>
      <c r="F118" s="3" t="str">
        <f>HYPERLINK("https://maps.google.com/maps?q=4.81905,-75.73989&amp;ll=4.81905,-75.73989&amp;z=14.75z","Vte Romelia El Pollo, Km 3.58 Mercasa - Estadio, , Ferrocarril, Pereira, Risaralda")</f>
        <v>Vte Romelia El Pollo, Km 3.58 Mercasa - Estadio, , Ferrocarril, Pereira, Risaralda</v>
      </c>
      <c r="G118">
        <v>5</v>
      </c>
      <c r="H118">
        <v>138067</v>
      </c>
      <c r="I118">
        <v>-75.739890000000003</v>
      </c>
      <c r="J118">
        <v>4.8190499999999998</v>
      </c>
      <c r="K118" t="s">
        <v>41</v>
      </c>
      <c r="L118" s="1">
        <v>44614</v>
      </c>
      <c r="M118" s="2" t="s">
        <v>334</v>
      </c>
      <c r="N118" t="s">
        <v>20</v>
      </c>
      <c r="O118" t="s">
        <v>21</v>
      </c>
      <c r="P118" t="s">
        <v>22</v>
      </c>
    </row>
    <row r="119" spans="1:16" x14ac:dyDescent="0.25">
      <c r="A119" t="s">
        <v>16</v>
      </c>
      <c r="B119" t="s">
        <v>17</v>
      </c>
      <c r="C119" t="s">
        <v>18</v>
      </c>
      <c r="D119" s="1">
        <v>44614</v>
      </c>
      <c r="E119" s="2" t="s">
        <v>660</v>
      </c>
      <c r="F119" s="3" t="str">
        <f>HYPERLINK("https://maps.google.com/maps?q=4.82048,-75.73804&amp;ll=4.82048,-75.73804&amp;z=14.75z","Vte Romelia El Pollo, Km 3.68 Mercasa - Estadio, , Ferrocarril, Pereira, Risaralda")</f>
        <v>Vte Romelia El Pollo, Km 3.68 Mercasa - Estadio, , Ferrocarril, Pereira, Risaralda</v>
      </c>
      <c r="G119">
        <v>23</v>
      </c>
      <c r="H119">
        <v>138068</v>
      </c>
      <c r="I119">
        <v>-75.738039999999998</v>
      </c>
      <c r="J119">
        <v>4.8204799999999999</v>
      </c>
      <c r="K119" t="s">
        <v>24</v>
      </c>
      <c r="L119" s="1">
        <v>44614</v>
      </c>
      <c r="M119" s="2" t="s">
        <v>660</v>
      </c>
      <c r="N119" t="s">
        <v>20</v>
      </c>
      <c r="O119" t="s">
        <v>21</v>
      </c>
      <c r="P119" t="s">
        <v>22</v>
      </c>
    </row>
    <row r="120" spans="1:16" x14ac:dyDescent="0.25">
      <c r="A120" t="s">
        <v>16</v>
      </c>
      <c r="B120" t="s">
        <v>17</v>
      </c>
      <c r="C120" t="s">
        <v>18</v>
      </c>
      <c r="D120" s="1">
        <v>44614</v>
      </c>
      <c r="E120" s="2" t="s">
        <v>660</v>
      </c>
      <c r="F120" s="3" t="str">
        <f>HYPERLINK("https://maps.google.com/maps?q=4.82018,-75.73612&amp;ll=4.82018,-75.73612&amp;z=14.75z","Vte Romelia El Pollo, Km 4.11 Mercasa - Estadio, , Ferrocarril, Pereira, Risaralda")</f>
        <v>Vte Romelia El Pollo, Km 4.11 Mercasa - Estadio, , Ferrocarril, Pereira, Risaralda</v>
      </c>
      <c r="G120">
        <v>24</v>
      </c>
      <c r="H120">
        <v>138068</v>
      </c>
      <c r="I120">
        <v>-75.73612</v>
      </c>
      <c r="J120">
        <v>4.8201799999999997</v>
      </c>
      <c r="K120" t="s">
        <v>33</v>
      </c>
      <c r="L120" s="1">
        <v>44614</v>
      </c>
      <c r="M120" s="2" t="s">
        <v>661</v>
      </c>
      <c r="N120" t="s">
        <v>20</v>
      </c>
      <c r="O120" t="s">
        <v>21</v>
      </c>
      <c r="P120" t="s">
        <v>22</v>
      </c>
    </row>
    <row r="121" spans="1:16" x14ac:dyDescent="0.25">
      <c r="A121" t="s">
        <v>16</v>
      </c>
      <c r="B121" t="s">
        <v>17</v>
      </c>
      <c r="C121" t="s">
        <v>18</v>
      </c>
      <c r="D121" s="1">
        <v>44614</v>
      </c>
      <c r="E121" s="2" t="s">
        <v>661</v>
      </c>
      <c r="F121" s="3" t="str">
        <f>HYPERLINK("https://maps.google.com/maps?q=4.81907,-75.73169&amp;ll=4.81907,-75.73169&amp;z=14.75z","Vte Romelia El Pollo, Km 4.52 Mercasa - Estadio, , Ferrocarril, Pereira, Risaralda")</f>
        <v>Vte Romelia El Pollo, Km 4.52 Mercasa - Estadio, , Ferrocarril, Pereira, Risaralda</v>
      </c>
      <c r="G121">
        <v>32</v>
      </c>
      <c r="H121">
        <v>138068</v>
      </c>
      <c r="I121">
        <v>-75.73169</v>
      </c>
      <c r="J121">
        <v>4.81907</v>
      </c>
      <c r="K121" t="s">
        <v>41</v>
      </c>
      <c r="L121" s="1">
        <v>44614</v>
      </c>
      <c r="M121" s="2" t="s">
        <v>303</v>
      </c>
      <c r="N121" t="s">
        <v>20</v>
      </c>
      <c r="O121" t="s">
        <v>21</v>
      </c>
      <c r="P121" t="s">
        <v>22</v>
      </c>
    </row>
    <row r="122" spans="1:16" x14ac:dyDescent="0.25">
      <c r="A122" t="s">
        <v>16</v>
      </c>
      <c r="B122" t="s">
        <v>17</v>
      </c>
      <c r="C122" t="s">
        <v>18</v>
      </c>
      <c r="D122" s="1">
        <v>44614</v>
      </c>
      <c r="E122" s="2" t="s">
        <v>303</v>
      </c>
      <c r="F122" s="3" t="str">
        <f>HYPERLINK("https://maps.google.com/maps?q=4.81976,-75.72818&amp;ll=4.81976,-75.72818&amp;z=14.75z","Vte Romelia El Pollo, Km 5.04 Mercasa - Estadio, , Ferrocarril, Pereira, Risaralda")</f>
        <v>Vte Romelia El Pollo, Km 5.04 Mercasa - Estadio, , Ferrocarril, Pereira, Risaralda</v>
      </c>
      <c r="G122">
        <v>35</v>
      </c>
      <c r="H122">
        <v>138069</v>
      </c>
      <c r="I122">
        <v>-75.728179999999995</v>
      </c>
      <c r="J122">
        <v>4.8197599999999996</v>
      </c>
      <c r="K122" t="s">
        <v>24</v>
      </c>
      <c r="L122" s="1">
        <v>44614</v>
      </c>
      <c r="M122" s="2" t="s">
        <v>304</v>
      </c>
      <c r="N122" t="s">
        <v>20</v>
      </c>
      <c r="O122" t="s">
        <v>21</v>
      </c>
      <c r="P122" t="s">
        <v>22</v>
      </c>
    </row>
    <row r="123" spans="1:16" x14ac:dyDescent="0.25">
      <c r="A123" t="s">
        <v>16</v>
      </c>
      <c r="B123" t="s">
        <v>17</v>
      </c>
      <c r="C123" t="s">
        <v>18</v>
      </c>
      <c r="D123" s="1">
        <v>44614</v>
      </c>
      <c r="E123" s="2" t="s">
        <v>304</v>
      </c>
      <c r="F123" s="3" t="str">
        <f>HYPERLINK("https://maps.google.com/maps?q=4.82088,-75.72506&amp;ll=4.82088,-75.72506&amp;z=14.75z","Vte Romelia El Pollo, Km 5.42 Mercasa - Estadio, Sector C, Ferrocarril, Pereira, Risaralda")</f>
        <v>Vte Romelia El Pollo, Km 5.42 Mercasa - Estadio, Sector C, Ferrocarril, Pereira, Risaralda</v>
      </c>
      <c r="G123">
        <v>15</v>
      </c>
      <c r="H123">
        <v>138069</v>
      </c>
      <c r="I123">
        <v>-75.725059999999999</v>
      </c>
      <c r="J123">
        <v>4.8208799999999998</v>
      </c>
      <c r="K123" t="s">
        <v>41</v>
      </c>
      <c r="L123" s="1">
        <v>44614</v>
      </c>
      <c r="M123" s="2" t="s">
        <v>662</v>
      </c>
      <c r="N123" t="s">
        <v>20</v>
      </c>
      <c r="O123" t="s">
        <v>21</v>
      </c>
      <c r="P123" t="s">
        <v>22</v>
      </c>
    </row>
    <row r="124" spans="1:16" x14ac:dyDescent="0.25">
      <c r="A124" t="s">
        <v>16</v>
      </c>
      <c r="B124" t="s">
        <v>17</v>
      </c>
      <c r="C124" t="s">
        <v>18</v>
      </c>
      <c r="D124" s="1">
        <v>44614</v>
      </c>
      <c r="E124" s="2" t="s">
        <v>662</v>
      </c>
      <c r="F124" s="3" t="str">
        <f>HYPERLINK("https://maps.google.com/maps?q=4.82316,-75.72143&amp;ll=4.82316,-75.72143&amp;z=14.75z","Vte Romelia El Pollo, Km 5.78 Mercasa - Estadio, , Combia Alta, Pereira, Risaralda")</f>
        <v>Vte Romelia El Pollo, Km 5.78 Mercasa - Estadio, , Combia Alta, Pereira, Risaralda</v>
      </c>
      <c r="G124">
        <v>30</v>
      </c>
      <c r="H124">
        <v>138070</v>
      </c>
      <c r="I124">
        <v>-75.721429999999998</v>
      </c>
      <c r="J124">
        <v>4.8231599999999997</v>
      </c>
      <c r="K124" t="s">
        <v>41</v>
      </c>
      <c r="L124" s="1">
        <v>44614</v>
      </c>
      <c r="M124" s="2" t="s">
        <v>662</v>
      </c>
      <c r="N124" t="s">
        <v>20</v>
      </c>
      <c r="O124" t="s">
        <v>21</v>
      </c>
      <c r="P124" t="s">
        <v>22</v>
      </c>
    </row>
    <row r="125" spans="1:16" x14ac:dyDescent="0.25">
      <c r="A125" t="s">
        <v>16</v>
      </c>
      <c r="B125" t="s">
        <v>17</v>
      </c>
      <c r="C125" t="s">
        <v>18</v>
      </c>
      <c r="D125" s="1">
        <v>44614</v>
      </c>
      <c r="E125" s="2" t="s">
        <v>663</v>
      </c>
      <c r="F125" s="3" t="str">
        <f>HYPERLINK("https://maps.google.com/maps?q=4.82329,-75.71696&amp;ll=4.82329,-75.71696&amp;z=14.75z","Vte Romelia El Pollo, Km 6.35 Mercasa - Estadio, , Combia Alta, Pereira, Risaralda")</f>
        <v>Vte Romelia El Pollo, Km 6.35 Mercasa - Estadio, , Combia Alta, Pereira, Risaralda</v>
      </c>
      <c r="G125">
        <v>43</v>
      </c>
      <c r="H125">
        <v>138070</v>
      </c>
      <c r="I125">
        <v>-75.71696</v>
      </c>
      <c r="J125">
        <v>4.8232900000000001</v>
      </c>
      <c r="K125" t="s">
        <v>41</v>
      </c>
      <c r="L125" s="1">
        <v>44614</v>
      </c>
      <c r="M125" s="2" t="s">
        <v>663</v>
      </c>
      <c r="N125" t="s">
        <v>20</v>
      </c>
      <c r="O125" t="s">
        <v>21</v>
      </c>
      <c r="P125" t="s">
        <v>22</v>
      </c>
    </row>
    <row r="126" spans="1:16" x14ac:dyDescent="0.25">
      <c r="A126" t="s">
        <v>16</v>
      </c>
      <c r="B126" t="s">
        <v>17</v>
      </c>
      <c r="C126" t="s">
        <v>18</v>
      </c>
      <c r="D126" s="1">
        <v>44614</v>
      </c>
      <c r="E126" s="2" t="s">
        <v>664</v>
      </c>
      <c r="F126" s="3" t="str">
        <f>HYPERLINK("https://maps.google.com/maps?q=4.82515,-75.71237&amp;ll=4.82515,-75.71237&amp;z=14.75z","Vte Romelia El Pollo, Km 7.04 Mercasa - Estadio, , La Esperanza, Dosquebradas, Risaralda")</f>
        <v>Vte Romelia El Pollo, Km 7.04 Mercasa - Estadio, , La Esperanza, Dosquebradas, Risaralda</v>
      </c>
      <c r="G126">
        <v>27</v>
      </c>
      <c r="H126">
        <v>138071</v>
      </c>
      <c r="I126">
        <v>-75.712370000000007</v>
      </c>
      <c r="J126">
        <v>4.8251499999999998</v>
      </c>
      <c r="K126" t="s">
        <v>23</v>
      </c>
      <c r="L126" s="1">
        <v>44614</v>
      </c>
      <c r="M126" s="2" t="s">
        <v>664</v>
      </c>
      <c r="N126" t="s">
        <v>20</v>
      </c>
      <c r="O126" t="s">
        <v>21</v>
      </c>
      <c r="P126" t="s">
        <v>22</v>
      </c>
    </row>
    <row r="127" spans="1:16" x14ac:dyDescent="0.25">
      <c r="A127" t="s">
        <v>16</v>
      </c>
      <c r="B127" t="s">
        <v>17</v>
      </c>
      <c r="C127" t="s">
        <v>18</v>
      </c>
      <c r="D127" s="1">
        <v>44614</v>
      </c>
      <c r="E127" s="2" t="s">
        <v>335</v>
      </c>
      <c r="F127" s="3" t="str">
        <f>HYPERLINK("https://maps.google.com/maps?q=4.82855,-75.71041&amp;ll=4.82855,-75.71041&amp;z=14.75z","Vte Romelia El Pollo, Km 7.52 Mercasa - Estadio, , La Esperanza, Dosquebradas, Risaralda")</f>
        <v>Vte Romelia El Pollo, Km 7.52 Mercasa - Estadio, , La Esperanza, Dosquebradas, Risaralda</v>
      </c>
      <c r="G127">
        <v>42</v>
      </c>
      <c r="H127">
        <v>138071</v>
      </c>
      <c r="I127">
        <v>-75.710409999999996</v>
      </c>
      <c r="J127">
        <v>4.8285499999999999</v>
      </c>
      <c r="K127" t="s">
        <v>41</v>
      </c>
      <c r="L127" s="1">
        <v>44614</v>
      </c>
      <c r="M127" s="2" t="s">
        <v>335</v>
      </c>
      <c r="N127" t="s">
        <v>20</v>
      </c>
      <c r="O127" t="s">
        <v>21</v>
      </c>
      <c r="P127" t="s">
        <v>22</v>
      </c>
    </row>
    <row r="128" spans="1:16" x14ac:dyDescent="0.25">
      <c r="A128" t="s">
        <v>16</v>
      </c>
      <c r="B128" t="s">
        <v>17</v>
      </c>
      <c r="C128" t="s">
        <v>18</v>
      </c>
      <c r="D128" s="1">
        <v>44614</v>
      </c>
      <c r="E128" s="2" t="s">
        <v>336</v>
      </c>
      <c r="F128" s="3" t="str">
        <f>HYPERLINK("https://maps.google.com/maps?q=4.82961,-75.70542&amp;ll=4.82961,-75.70542&amp;z=14.75z","Vte Romelia El Pollo, Km 8.11 Mercasa - Estadio, , La Esperanza, Dosquebradas, Risaralda")</f>
        <v>Vte Romelia El Pollo, Km 8.11 Mercasa - Estadio, , La Esperanza, Dosquebradas, Risaralda</v>
      </c>
      <c r="G128">
        <v>55</v>
      </c>
      <c r="H128">
        <v>138072</v>
      </c>
      <c r="I128">
        <v>-75.705420000000004</v>
      </c>
      <c r="J128">
        <v>4.8296099999999997</v>
      </c>
      <c r="K128" t="s">
        <v>24</v>
      </c>
      <c r="L128" s="1">
        <v>44614</v>
      </c>
      <c r="M128" s="2" t="s">
        <v>336</v>
      </c>
      <c r="N128" t="s">
        <v>20</v>
      </c>
      <c r="O128" t="s">
        <v>21</v>
      </c>
      <c r="P128" t="s">
        <v>22</v>
      </c>
    </row>
    <row r="129" spans="1:16" x14ac:dyDescent="0.25">
      <c r="A129" t="s">
        <v>16</v>
      </c>
      <c r="B129" t="s">
        <v>17</v>
      </c>
      <c r="C129" t="s">
        <v>18</v>
      </c>
      <c r="D129" s="1">
        <v>44614</v>
      </c>
      <c r="E129" s="2" t="s">
        <v>665</v>
      </c>
      <c r="F129" s="3" t="str">
        <f>HYPERLINK("https://maps.google.com/maps?q=4.83111,-75.69994&amp;ll=4.83111,-75.69994&amp;z=14.75z","Vte Romelia El Pollo, Km 8.7 Mercasa - Estadio, , El Estanquillo, Dosquebradas, Risaralda")</f>
        <v>Vte Romelia El Pollo, Km 8.7 Mercasa - Estadio, , El Estanquillo, Dosquebradas, Risaralda</v>
      </c>
      <c r="G129">
        <v>38</v>
      </c>
      <c r="H129">
        <v>138073</v>
      </c>
      <c r="I129">
        <v>-75.699939999999998</v>
      </c>
      <c r="J129">
        <v>4.8311099999999998</v>
      </c>
      <c r="K129" t="s">
        <v>41</v>
      </c>
      <c r="L129" s="1">
        <v>44614</v>
      </c>
      <c r="M129" s="2" t="s">
        <v>665</v>
      </c>
      <c r="N129" t="s">
        <v>20</v>
      </c>
      <c r="O129" t="s">
        <v>21</v>
      </c>
      <c r="P129" t="s">
        <v>22</v>
      </c>
    </row>
    <row r="130" spans="1:16" x14ac:dyDescent="0.25">
      <c r="A130" t="s">
        <v>16</v>
      </c>
      <c r="B130" t="s">
        <v>17</v>
      </c>
      <c r="C130" t="s">
        <v>18</v>
      </c>
      <c r="D130" s="1">
        <v>44614</v>
      </c>
      <c r="E130" s="2" t="s">
        <v>666</v>
      </c>
      <c r="F130" s="3" t="str">
        <f>HYPERLINK("https://maps.google.com/maps?q=4.83209,-75.69693&amp;ll=4.83209,-75.69693&amp;z=14.75z","Vte Romelia El Pollo, Km 9.23 Mercasa - Estadio, , Comuna 3, Dosquebradas, Risaralda")</f>
        <v>Vte Romelia El Pollo, Km 9.23 Mercasa - Estadio, , Comuna 3, Dosquebradas, Risaralda</v>
      </c>
      <c r="G130">
        <v>20</v>
      </c>
      <c r="H130">
        <v>138073</v>
      </c>
      <c r="I130">
        <v>-75.696929999999995</v>
      </c>
      <c r="J130">
        <v>4.83209</v>
      </c>
      <c r="K130" t="s">
        <v>24</v>
      </c>
      <c r="L130" s="1">
        <v>44614</v>
      </c>
      <c r="M130" s="2" t="s">
        <v>667</v>
      </c>
      <c r="N130" t="s">
        <v>20</v>
      </c>
      <c r="O130" t="s">
        <v>21</v>
      </c>
      <c r="P130" t="s">
        <v>22</v>
      </c>
    </row>
    <row r="131" spans="1:16" x14ac:dyDescent="0.25">
      <c r="A131" t="s">
        <v>16</v>
      </c>
      <c r="B131" t="s">
        <v>17</v>
      </c>
      <c r="C131" t="s">
        <v>27</v>
      </c>
      <c r="D131" s="1">
        <v>44614</v>
      </c>
      <c r="E131" s="2" t="s">
        <v>667</v>
      </c>
      <c r="F131" s="3" t="str">
        <f>HYPERLINK("https://maps.google.com/maps?q=4.83253,-75.69669&amp;ll=4.83253,-75.69669&amp;z=14.75z","Vte Romelia El Pollo, Km 9.3 Mercasa - Estadio, , Comuna 3, Dosquebradas, Risaralda")</f>
        <v>Vte Romelia El Pollo, Km 9.3 Mercasa - Estadio, , Comuna 3, Dosquebradas, Risaralda</v>
      </c>
      <c r="G131">
        <v>0</v>
      </c>
      <c r="H131">
        <v>138073</v>
      </c>
      <c r="I131">
        <v>-75.696690000000004</v>
      </c>
      <c r="J131">
        <v>4.8325300000000002</v>
      </c>
      <c r="K131" t="s">
        <v>24</v>
      </c>
      <c r="L131" s="1">
        <v>44614</v>
      </c>
      <c r="M131" s="2" t="s">
        <v>667</v>
      </c>
      <c r="N131" t="s">
        <v>20</v>
      </c>
      <c r="O131" t="s">
        <v>21</v>
      </c>
      <c r="P131" t="s">
        <v>22</v>
      </c>
    </row>
    <row r="132" spans="1:16" x14ac:dyDescent="0.25">
      <c r="A132" t="s">
        <v>16</v>
      </c>
      <c r="B132" t="s">
        <v>17</v>
      </c>
      <c r="C132" t="s">
        <v>18</v>
      </c>
      <c r="D132" s="1">
        <v>44614</v>
      </c>
      <c r="E132" s="2" t="s">
        <v>667</v>
      </c>
      <c r="F132" s="3" t="str">
        <f>HYPERLINK("https://maps.google.com/maps?q=4.83253,-75.69669&amp;ll=4.83253,-75.69669&amp;z=14.75z","Vte Romelia El Pollo, Km 9.3 Mercasa - Estadio, , Comuna 3, Dosquebradas, Risaralda")</f>
        <v>Vte Romelia El Pollo, Km 9.3 Mercasa - Estadio, , Comuna 3, Dosquebradas, Risaralda</v>
      </c>
      <c r="G132">
        <v>0</v>
      </c>
      <c r="H132">
        <v>138073</v>
      </c>
      <c r="I132">
        <v>-75.696690000000004</v>
      </c>
      <c r="J132">
        <v>4.8325300000000002</v>
      </c>
      <c r="K132" t="s">
        <v>24</v>
      </c>
      <c r="L132" s="1">
        <v>44614</v>
      </c>
      <c r="M132" s="2" t="s">
        <v>667</v>
      </c>
      <c r="N132" t="s">
        <v>20</v>
      </c>
      <c r="O132" t="s">
        <v>21</v>
      </c>
      <c r="P132" t="s">
        <v>22</v>
      </c>
    </row>
    <row r="133" spans="1:16" x14ac:dyDescent="0.25">
      <c r="A133" t="s">
        <v>16</v>
      </c>
      <c r="B133" t="s">
        <v>17</v>
      </c>
      <c r="C133" t="s">
        <v>27</v>
      </c>
      <c r="D133" s="1">
        <v>44614</v>
      </c>
      <c r="E133" s="2" t="s">
        <v>668</v>
      </c>
      <c r="F133" s="3" t="str">
        <f>HYPERLINK("https://maps.google.com/maps?q=4.83253,-75.69669&amp;ll=4.83253,-75.69669&amp;z=14.75z","Vte Romelia El Pollo, Km 9.3 Mercasa - Estadio, , Comuna 3, Dosquebradas, Risaralda")</f>
        <v>Vte Romelia El Pollo, Km 9.3 Mercasa - Estadio, , Comuna 3, Dosquebradas, Risaralda</v>
      </c>
      <c r="G133">
        <v>0</v>
      </c>
      <c r="H133">
        <v>138073</v>
      </c>
      <c r="I133">
        <v>-75.696690000000004</v>
      </c>
      <c r="J133">
        <v>4.8325300000000002</v>
      </c>
      <c r="K133" t="s">
        <v>23</v>
      </c>
      <c r="L133" s="1">
        <v>44614</v>
      </c>
      <c r="M133" s="2" t="s">
        <v>668</v>
      </c>
      <c r="N133" t="s">
        <v>20</v>
      </c>
      <c r="O133" t="s">
        <v>21</v>
      </c>
      <c r="P133" t="s">
        <v>28</v>
      </c>
    </row>
    <row r="134" spans="1:16" x14ac:dyDescent="0.25">
      <c r="A134" t="s">
        <v>16</v>
      </c>
      <c r="B134" t="s">
        <v>17</v>
      </c>
      <c r="C134" t="s">
        <v>18</v>
      </c>
      <c r="D134" s="1">
        <v>44614</v>
      </c>
      <c r="E134" s="2" t="s">
        <v>669</v>
      </c>
      <c r="F134" s="3" t="str">
        <f>HYPERLINK("https://maps.google.com/maps?q=4.8363,-75.69396&amp;ll=4.8363,-75.69396&amp;z=14.75z","Vte Romelia El Pollo, Km 9.84 Mercasa - Estadio, , Comuna 3, Dosquebradas, Risaralda")</f>
        <v>Vte Romelia El Pollo, Km 9.84 Mercasa - Estadio, , Comuna 3, Dosquebradas, Risaralda</v>
      </c>
      <c r="G134">
        <v>19</v>
      </c>
      <c r="H134">
        <v>138073</v>
      </c>
      <c r="I134">
        <v>-75.693960000000004</v>
      </c>
      <c r="J134">
        <v>4.8362999999999996</v>
      </c>
      <c r="K134" t="s">
        <v>41</v>
      </c>
      <c r="L134" s="1">
        <v>44614</v>
      </c>
      <c r="M134" s="2" t="s">
        <v>669</v>
      </c>
      <c r="N134" t="s">
        <v>20</v>
      </c>
      <c r="O134" t="s">
        <v>21</v>
      </c>
      <c r="P134" t="s">
        <v>22</v>
      </c>
    </row>
    <row r="135" spans="1:16" x14ac:dyDescent="0.25">
      <c r="A135" t="s">
        <v>16</v>
      </c>
      <c r="B135" t="s">
        <v>17</v>
      </c>
      <c r="C135" t="s">
        <v>18</v>
      </c>
      <c r="D135" s="1">
        <v>44614</v>
      </c>
      <c r="E135" s="2" t="s">
        <v>670</v>
      </c>
      <c r="F135" s="3" t="str">
        <f>HYPERLINK("https://maps.google.com/maps?q=4.83611,-75.6925&amp;ll=4.83611,-75.6925&amp;z=14.75z","Vte Romelia El Pollo, Km 10.03 Mercasa - Estadio, , Comuna 3, Dosquebradas, Risaralda")</f>
        <v>Vte Romelia El Pollo, Km 10.03 Mercasa - Estadio, , Comuna 3, Dosquebradas, Risaralda</v>
      </c>
      <c r="G135">
        <v>11</v>
      </c>
      <c r="H135">
        <v>138074</v>
      </c>
      <c r="I135">
        <v>-75.692499999999995</v>
      </c>
      <c r="J135">
        <v>4.8361099999999997</v>
      </c>
      <c r="K135" t="s">
        <v>41</v>
      </c>
      <c r="L135" s="1">
        <v>44614</v>
      </c>
      <c r="M135" s="2" t="s">
        <v>670</v>
      </c>
      <c r="N135" t="s">
        <v>20</v>
      </c>
      <c r="O135" t="s">
        <v>21</v>
      </c>
      <c r="P135" t="s">
        <v>22</v>
      </c>
    </row>
    <row r="136" spans="1:16" x14ac:dyDescent="0.25">
      <c r="A136" t="s">
        <v>16</v>
      </c>
      <c r="B136" t="s">
        <v>17</v>
      </c>
      <c r="C136" t="s">
        <v>18</v>
      </c>
      <c r="D136" s="1">
        <v>44614</v>
      </c>
      <c r="E136" s="2" t="s">
        <v>671</v>
      </c>
      <c r="F136" s="3" t="str">
        <f>HYPERLINK("https://maps.google.com/maps?q=4.83649,-75.68818&amp;ll=4.83649,-75.68818&amp;z=14.75z","Vte Romelia El Pollo, Km 10.51 Mercasa - Estadio, , , Dosquebradas, Risaralda")</f>
        <v>Vte Romelia El Pollo, Km 10.51 Mercasa - Estadio, , , Dosquebradas, Risaralda</v>
      </c>
      <c r="G136">
        <v>52</v>
      </c>
      <c r="H136">
        <v>138074</v>
      </c>
      <c r="I136">
        <v>-75.688180000000003</v>
      </c>
      <c r="J136">
        <v>4.8364900000000004</v>
      </c>
      <c r="K136" t="s">
        <v>24</v>
      </c>
      <c r="L136" s="1">
        <v>44614</v>
      </c>
      <c r="M136" s="2" t="s">
        <v>671</v>
      </c>
      <c r="N136" t="s">
        <v>20</v>
      </c>
      <c r="O136" t="s">
        <v>21</v>
      </c>
      <c r="P136" t="s">
        <v>22</v>
      </c>
    </row>
    <row r="137" spans="1:16" x14ac:dyDescent="0.25">
      <c r="A137" t="s">
        <v>16</v>
      </c>
      <c r="B137" t="s">
        <v>17</v>
      </c>
      <c r="C137" t="s">
        <v>18</v>
      </c>
      <c r="D137" s="1">
        <v>44614</v>
      </c>
      <c r="E137" s="2" t="s">
        <v>337</v>
      </c>
      <c r="F137" s="3" t="str">
        <f>HYPERLINK("https://maps.google.com/maps?q=4.83977,-75.68149&amp;ll=4.83977,-75.68149&amp;z=14.75z","Vte Romelia El Pollo, Km 11.31 Mercasa - Estadio, , Santana, Dosquebradas, Risaralda")</f>
        <v>Vte Romelia El Pollo, Km 11.31 Mercasa - Estadio, , Santana, Dosquebradas, Risaralda</v>
      </c>
      <c r="G137">
        <v>57</v>
      </c>
      <c r="H137">
        <v>138075</v>
      </c>
      <c r="I137">
        <v>-75.681489999999997</v>
      </c>
      <c r="J137">
        <v>4.8397699999999997</v>
      </c>
      <c r="K137" t="s">
        <v>41</v>
      </c>
      <c r="L137" s="1">
        <v>44614</v>
      </c>
      <c r="M137" s="2" t="s">
        <v>337</v>
      </c>
      <c r="N137" t="s">
        <v>20</v>
      </c>
      <c r="O137" t="s">
        <v>21</v>
      </c>
      <c r="P137" t="s">
        <v>22</v>
      </c>
    </row>
    <row r="138" spans="1:16" x14ac:dyDescent="0.25">
      <c r="A138" t="s">
        <v>16</v>
      </c>
      <c r="B138" t="s">
        <v>17</v>
      </c>
      <c r="C138" t="s">
        <v>18</v>
      </c>
      <c r="D138" s="1">
        <v>44614</v>
      </c>
      <c r="E138" s="2" t="s">
        <v>672</v>
      </c>
      <c r="F138" s="3" t="str">
        <f>HYPERLINK("https://maps.google.com/maps?q=4.84392,-75.67584&amp;ll=4.84392,-75.67584&amp;z=14.75z","Vte Romelia El Pollo, Km 11.96 Mercasa - Estadio, , Santana, Dosquebradas, Risaralda")</f>
        <v>Vte Romelia El Pollo, Km 11.96 Mercasa - Estadio, , Santana, Dosquebradas, Risaralda</v>
      </c>
      <c r="G138">
        <v>41</v>
      </c>
      <c r="H138">
        <v>138076</v>
      </c>
      <c r="I138">
        <v>-75.675839999999994</v>
      </c>
      <c r="J138">
        <v>4.8439199999999998</v>
      </c>
      <c r="K138" t="s">
        <v>24</v>
      </c>
      <c r="L138" s="1">
        <v>44614</v>
      </c>
      <c r="M138" s="2" t="s">
        <v>672</v>
      </c>
      <c r="N138" t="s">
        <v>20</v>
      </c>
      <c r="O138" t="s">
        <v>21</v>
      </c>
      <c r="P138" t="s">
        <v>22</v>
      </c>
    </row>
    <row r="139" spans="1:16" x14ac:dyDescent="0.25">
      <c r="A139" t="s">
        <v>16</v>
      </c>
      <c r="B139" t="s">
        <v>17</v>
      </c>
      <c r="C139" t="s">
        <v>18</v>
      </c>
      <c r="D139" s="1">
        <v>44614</v>
      </c>
      <c r="E139" s="2" t="s">
        <v>672</v>
      </c>
      <c r="F139" s="3" t="str">
        <f>HYPERLINK("https://maps.google.com/maps?q=4.84663,-75.67299&amp;ll=4.84663,-75.67299&amp;z=14.75z","Vte Romelia El Pollo, Km 12.57 Mercasa - Estadio, , Comuna 6, Dosquebradas, Risaralda")</f>
        <v>Vte Romelia El Pollo, Km 12.57 Mercasa - Estadio, , Comuna 6, Dosquebradas, Risaralda</v>
      </c>
      <c r="G139">
        <v>45</v>
      </c>
      <c r="H139">
        <v>138076</v>
      </c>
      <c r="I139">
        <v>-75.672989999999999</v>
      </c>
      <c r="J139">
        <v>4.8466300000000002</v>
      </c>
      <c r="K139" t="s">
        <v>24</v>
      </c>
      <c r="L139" s="1">
        <v>44614</v>
      </c>
      <c r="M139" s="2" t="s">
        <v>673</v>
      </c>
      <c r="N139" t="s">
        <v>20</v>
      </c>
      <c r="O139" t="s">
        <v>21</v>
      </c>
      <c r="P139" t="s">
        <v>22</v>
      </c>
    </row>
    <row r="140" spans="1:16" x14ac:dyDescent="0.25">
      <c r="A140" t="s">
        <v>16</v>
      </c>
      <c r="B140" t="s">
        <v>17</v>
      </c>
      <c r="C140" t="s">
        <v>18</v>
      </c>
      <c r="D140" s="1">
        <v>44614</v>
      </c>
      <c r="E140" s="2" t="s">
        <v>673</v>
      </c>
      <c r="F140" s="3" t="str">
        <f>HYPERLINK("https://maps.google.com/maps?q=4.84967,-75.66841&amp;ll=4.84967,-75.66841&amp;z=14.75z","Vía Parqueadero El Carmelo, , Comuna 10, Dosquebradas, Risaralda")</f>
        <v>Vía Parqueadero El Carmelo, , Comuna 10, Dosquebradas, Risaralda</v>
      </c>
      <c r="G140">
        <v>13</v>
      </c>
      <c r="H140">
        <v>138077</v>
      </c>
      <c r="I140">
        <v>-75.668409999999994</v>
      </c>
      <c r="J140">
        <v>4.8496699999999997</v>
      </c>
      <c r="K140" t="s">
        <v>41</v>
      </c>
      <c r="L140" s="1">
        <v>44614</v>
      </c>
      <c r="M140" s="2" t="s">
        <v>673</v>
      </c>
      <c r="N140" t="s">
        <v>20</v>
      </c>
      <c r="O140" t="s">
        <v>21</v>
      </c>
      <c r="P140" t="s">
        <v>22</v>
      </c>
    </row>
    <row r="141" spans="1:16" x14ac:dyDescent="0.25">
      <c r="A141" t="s">
        <v>16</v>
      </c>
      <c r="B141" t="s">
        <v>17</v>
      </c>
      <c r="C141" t="s">
        <v>18</v>
      </c>
      <c r="D141" s="1">
        <v>44614</v>
      </c>
      <c r="E141" s="2" t="s">
        <v>674</v>
      </c>
      <c r="F141" s="3" t="str">
        <f>HYPERLINK("https://maps.google.com/maps?q=4.84963,-75.66792&amp;ll=4.84963,-75.66792&amp;z=14.75z","Troncal Pereira - Dosquebradas, , Comuna 10, Dosquebradas, Risaralda")</f>
        <v>Troncal Pereira - Dosquebradas, , Comuna 10, Dosquebradas, Risaralda</v>
      </c>
      <c r="G141">
        <v>3</v>
      </c>
      <c r="H141">
        <v>138077</v>
      </c>
      <c r="I141">
        <v>-75.667919999999995</v>
      </c>
      <c r="J141">
        <v>4.8496300000000003</v>
      </c>
      <c r="K141" t="s">
        <v>19</v>
      </c>
      <c r="L141" s="1">
        <v>44614</v>
      </c>
      <c r="M141" s="2" t="s">
        <v>674</v>
      </c>
      <c r="N141" t="s">
        <v>20</v>
      </c>
      <c r="O141" t="s">
        <v>21</v>
      </c>
      <c r="P141" t="s">
        <v>22</v>
      </c>
    </row>
    <row r="142" spans="1:16" x14ac:dyDescent="0.25">
      <c r="A142" t="s">
        <v>16</v>
      </c>
      <c r="B142" t="s">
        <v>114</v>
      </c>
      <c r="C142" t="s">
        <v>18</v>
      </c>
      <c r="D142" s="1">
        <v>44614</v>
      </c>
      <c r="E142" s="2" t="s">
        <v>338</v>
      </c>
      <c r="F142" s="3" t="str">
        <f>HYPERLINK("https://maps.google.com/maps?q=4.84957,-75.66806&amp;ll=4.84957,-75.66806&amp;z=14.75z","Troncal Pereira - Dosquebradas, , Comuna 10, Dosquebradas, Risaralda")</f>
        <v>Troncal Pereira - Dosquebradas, , Comuna 10, Dosquebradas, Risaralda</v>
      </c>
      <c r="G142">
        <v>0</v>
      </c>
      <c r="H142">
        <v>138077</v>
      </c>
      <c r="I142">
        <v>-75.668059999999997</v>
      </c>
      <c r="J142">
        <v>4.8495699999999999</v>
      </c>
      <c r="K142" t="s">
        <v>30</v>
      </c>
      <c r="L142" s="1">
        <v>44614</v>
      </c>
      <c r="M142" s="2" t="s">
        <v>338</v>
      </c>
      <c r="N142" t="s">
        <v>20</v>
      </c>
      <c r="O142" t="s">
        <v>21</v>
      </c>
      <c r="P142" t="s">
        <v>22</v>
      </c>
    </row>
    <row r="143" spans="1:16" x14ac:dyDescent="0.25">
      <c r="A143" t="s">
        <v>16</v>
      </c>
      <c r="B143" t="s">
        <v>114</v>
      </c>
      <c r="C143" t="s">
        <v>115</v>
      </c>
      <c r="D143" s="1">
        <v>44614</v>
      </c>
      <c r="E143" s="2" t="s">
        <v>338</v>
      </c>
      <c r="F143" s="3" t="str">
        <f>HYPERLINK("https://maps.google.com/maps?q=4.84957,-75.66806&amp;ll=4.84957,-75.66806&amp;z=14.75z","Troncal Pereira - Dosquebradas, , Comuna 10, Dosquebradas, Risaralda")</f>
        <v>Troncal Pereira - Dosquebradas, , Comuna 10, Dosquebradas, Risaralda</v>
      </c>
      <c r="G143">
        <v>0</v>
      </c>
      <c r="H143">
        <v>138077</v>
      </c>
      <c r="I143">
        <v>-75.668059999999997</v>
      </c>
      <c r="J143">
        <v>4.8495699999999999</v>
      </c>
      <c r="K143" t="s">
        <v>30</v>
      </c>
      <c r="L143" s="1">
        <v>44614</v>
      </c>
      <c r="M143" s="2" t="s">
        <v>338</v>
      </c>
      <c r="N143" t="s">
        <v>20</v>
      </c>
      <c r="O143" t="s">
        <v>21</v>
      </c>
      <c r="P143" t="s">
        <v>22</v>
      </c>
    </row>
    <row r="144" spans="1:16" x14ac:dyDescent="0.25">
      <c r="A144" t="s">
        <v>16</v>
      </c>
      <c r="B144" t="s">
        <v>94</v>
      </c>
      <c r="C144" t="s">
        <v>116</v>
      </c>
      <c r="D144" s="1">
        <v>44614</v>
      </c>
      <c r="E144" s="2" t="s">
        <v>675</v>
      </c>
      <c r="F144" s="3" t="str">
        <f>HYPERLINK("https://maps.google.com/maps?q=4.84945,-75.66812&amp;ll=4.84945,-75.66812&amp;z=14.75z","Troncal Pereira - Dosquebradas, , Comuna 10, Dosquebradas, Risaralda")</f>
        <v>Troncal Pereira - Dosquebradas, , Comuna 10, Dosquebradas, Risaralda</v>
      </c>
      <c r="G144">
        <v>0</v>
      </c>
      <c r="H144">
        <v>138077</v>
      </c>
      <c r="I144">
        <v>-75.668120000000002</v>
      </c>
      <c r="J144">
        <v>4.84945</v>
      </c>
      <c r="K144" t="s">
        <v>30</v>
      </c>
      <c r="L144" s="1">
        <v>44614</v>
      </c>
      <c r="M144" s="2" t="s">
        <v>676</v>
      </c>
      <c r="N144" t="s">
        <v>20</v>
      </c>
      <c r="O144" t="s">
        <v>21</v>
      </c>
      <c r="P144" t="s">
        <v>22</v>
      </c>
    </row>
    <row r="145" spans="1:16" x14ac:dyDescent="0.25">
      <c r="A145" t="s">
        <v>16</v>
      </c>
      <c r="B145" t="s">
        <v>94</v>
      </c>
      <c r="C145" t="s">
        <v>18</v>
      </c>
      <c r="D145" s="1">
        <v>44614</v>
      </c>
      <c r="E145" s="2" t="s">
        <v>676</v>
      </c>
      <c r="F145" s="3" t="str">
        <f>HYPERLINK("https://maps.google.com/maps?q=4.84944,-75.66814&amp;ll=4.84944,-75.66814&amp;z=14.75z","Troncal Pereira - Dosquebradas, , Comuna 10, Dosquebradas, Risaralda")</f>
        <v>Troncal Pereira - Dosquebradas, , Comuna 10, Dosquebradas, Risaralda</v>
      </c>
      <c r="G145">
        <v>1</v>
      </c>
      <c r="H145">
        <v>138077</v>
      </c>
      <c r="I145">
        <v>-75.668139999999994</v>
      </c>
      <c r="J145">
        <v>4.8494400000000004</v>
      </c>
      <c r="K145" t="s">
        <v>30</v>
      </c>
      <c r="L145" s="1">
        <v>44614</v>
      </c>
      <c r="M145" s="2" t="s">
        <v>676</v>
      </c>
      <c r="N145" t="s">
        <v>20</v>
      </c>
      <c r="O145" t="s">
        <v>21</v>
      </c>
      <c r="P145" t="s">
        <v>22</v>
      </c>
    </row>
    <row r="146" spans="1:16" x14ac:dyDescent="0.25">
      <c r="A146" t="s">
        <v>16</v>
      </c>
      <c r="B146" t="s">
        <v>17</v>
      </c>
      <c r="C146" t="s">
        <v>18</v>
      </c>
      <c r="D146" s="1">
        <v>44614</v>
      </c>
      <c r="E146" s="2" t="s">
        <v>677</v>
      </c>
      <c r="F146" s="3" t="str">
        <f>HYPERLINK("https://maps.google.com/maps?q=4.85022,-75.66732&amp;ll=4.85022,-75.66732&amp;z=14.75z","Troncal Pereira - Dosquebradas, , Comuna 10, Dosquebradas, Risaralda")</f>
        <v>Troncal Pereira - Dosquebradas, , Comuna 10, Dosquebradas, Risaralda</v>
      </c>
      <c r="G146">
        <v>32</v>
      </c>
      <c r="H146">
        <v>138077</v>
      </c>
      <c r="I146">
        <v>-75.667320000000004</v>
      </c>
      <c r="J146">
        <v>4.8502200000000002</v>
      </c>
      <c r="K146" t="s">
        <v>41</v>
      </c>
      <c r="L146" s="1">
        <v>44614</v>
      </c>
      <c r="M146" s="2" t="s">
        <v>677</v>
      </c>
      <c r="N146" t="s">
        <v>20</v>
      </c>
      <c r="O146" t="s">
        <v>21</v>
      </c>
      <c r="P146" t="s">
        <v>22</v>
      </c>
    </row>
    <row r="147" spans="1:16" x14ac:dyDescent="0.25">
      <c r="A147" t="s">
        <v>16</v>
      </c>
      <c r="B147" t="s">
        <v>17</v>
      </c>
      <c r="C147" t="s">
        <v>18</v>
      </c>
      <c r="D147" s="1">
        <v>44614</v>
      </c>
      <c r="E147" s="2" t="s">
        <v>678</v>
      </c>
      <c r="F147" s="3" t="str">
        <f>HYPERLINK("https://maps.google.com/maps?q=4.85011,-75.66476&amp;ll=4.85011,-75.66476&amp;z=14.75z","Troncal Pereira - Dosquebradas, , Comuna 10, Dosquebradas, Risaralda")</f>
        <v>Troncal Pereira - Dosquebradas, , Comuna 10, Dosquebradas, Risaralda</v>
      </c>
      <c r="G147">
        <v>33</v>
      </c>
      <c r="H147">
        <v>138077</v>
      </c>
      <c r="I147">
        <v>-75.664760000000001</v>
      </c>
      <c r="J147">
        <v>4.8501099999999999</v>
      </c>
      <c r="K147" t="s">
        <v>24</v>
      </c>
      <c r="L147" s="1">
        <v>44614</v>
      </c>
      <c r="M147" s="2" t="s">
        <v>678</v>
      </c>
      <c r="N147" t="s">
        <v>20</v>
      </c>
      <c r="O147" t="s">
        <v>21</v>
      </c>
      <c r="P147" t="s">
        <v>22</v>
      </c>
    </row>
    <row r="148" spans="1:16" x14ac:dyDescent="0.25">
      <c r="A148" t="s">
        <v>16</v>
      </c>
      <c r="B148" t="s">
        <v>17</v>
      </c>
      <c r="C148" t="s">
        <v>18</v>
      </c>
      <c r="D148" s="1">
        <v>44614</v>
      </c>
      <c r="E148" s="2" t="s">
        <v>679</v>
      </c>
      <c r="F148" s="3" t="str">
        <f>HYPERLINK("https://maps.google.com/maps?q=4.85211,-75.66093&amp;ll=4.85211,-75.66093&amp;z=14.75z","Cra 10, La Semilla, Comuna 10, Dosquebradas, Risaralda")</f>
        <v>Cra 10, La Semilla, Comuna 10, Dosquebradas, Risaralda</v>
      </c>
      <c r="G148">
        <v>42</v>
      </c>
      <c r="H148">
        <v>138078</v>
      </c>
      <c r="I148">
        <v>-75.660929999999993</v>
      </c>
      <c r="J148">
        <v>4.8521099999999997</v>
      </c>
      <c r="K148" t="s">
        <v>24</v>
      </c>
      <c r="L148" s="1">
        <v>44614</v>
      </c>
      <c r="M148" s="2" t="s">
        <v>679</v>
      </c>
      <c r="N148" t="s">
        <v>20</v>
      </c>
      <c r="O148" t="s">
        <v>21</v>
      </c>
      <c r="P148" t="s">
        <v>22</v>
      </c>
    </row>
    <row r="149" spans="1:16" x14ac:dyDescent="0.25">
      <c r="A149" t="s">
        <v>16</v>
      </c>
      <c r="B149" t="s">
        <v>17</v>
      </c>
      <c r="C149" t="s">
        <v>18</v>
      </c>
      <c r="D149" s="1">
        <v>44614</v>
      </c>
      <c r="E149" s="2" t="s">
        <v>680</v>
      </c>
      <c r="F149" s="3" t="str">
        <f>HYPERLINK("https://maps.google.com/maps?q=4.85311,-75.65894&amp;ll=4.85311,-75.65894&amp;z=14.75z","Cra 10, , Comuna 10, Dosquebradas, Risaralda")</f>
        <v>Cra 10, , Comuna 10, Dosquebradas, Risaralda</v>
      </c>
      <c r="G149">
        <v>4</v>
      </c>
      <c r="H149">
        <v>138078</v>
      </c>
      <c r="I149">
        <v>-75.658940000000001</v>
      </c>
      <c r="J149">
        <v>4.85311</v>
      </c>
      <c r="K149" t="s">
        <v>24</v>
      </c>
      <c r="L149" s="1">
        <v>44614</v>
      </c>
      <c r="M149" s="2" t="s">
        <v>680</v>
      </c>
      <c r="N149" t="s">
        <v>20</v>
      </c>
      <c r="O149" t="s">
        <v>21</v>
      </c>
      <c r="P149" t="s">
        <v>22</v>
      </c>
    </row>
    <row r="150" spans="1:16" x14ac:dyDescent="0.25">
      <c r="A150" t="s">
        <v>16</v>
      </c>
      <c r="B150" t="s">
        <v>17</v>
      </c>
      <c r="C150" t="s">
        <v>18</v>
      </c>
      <c r="D150" s="1">
        <v>44614</v>
      </c>
      <c r="E150" s="2" t="s">
        <v>681</v>
      </c>
      <c r="F150" s="3" t="str">
        <f>HYPERLINK("https://maps.google.com/maps?q=4.85355,-75.65745&amp;ll=4.85355,-75.65745&amp;z=14.75z","Cra 10, 70A, , Comuna 10, Dosquebradas, Risaralda")</f>
        <v>Cra 10, 70A, , Comuna 10, Dosquebradas, Risaralda</v>
      </c>
      <c r="G150">
        <v>16</v>
      </c>
      <c r="H150">
        <v>138078</v>
      </c>
      <c r="I150">
        <v>-75.657449999999997</v>
      </c>
      <c r="J150">
        <v>4.8535500000000003</v>
      </c>
      <c r="K150" t="s">
        <v>41</v>
      </c>
      <c r="L150" s="1">
        <v>44614</v>
      </c>
      <c r="M150" s="2" t="s">
        <v>681</v>
      </c>
      <c r="N150" t="s">
        <v>20</v>
      </c>
      <c r="O150" t="s">
        <v>21</v>
      </c>
      <c r="P150" t="s">
        <v>22</v>
      </c>
    </row>
    <row r="151" spans="1:16" x14ac:dyDescent="0.25">
      <c r="A151" t="s">
        <v>16</v>
      </c>
      <c r="B151" t="s">
        <v>17</v>
      </c>
      <c r="C151" t="s">
        <v>18</v>
      </c>
      <c r="D151" s="1">
        <v>44614</v>
      </c>
      <c r="E151" s="2" t="s">
        <v>682</v>
      </c>
      <c r="F151" s="3" t="str">
        <f>HYPERLINK("https://maps.google.com/maps?q=4.85266,-75.6567&amp;ll=4.85266,-75.6567&amp;z=14.75z","Cra 10, 70A, , Comuna 9, Dosquebradas, Risaralda")</f>
        <v>Cra 10, 70A, , Comuna 9, Dosquebradas, Risaralda</v>
      </c>
      <c r="G151">
        <v>5</v>
      </c>
      <c r="H151">
        <v>138079</v>
      </c>
      <c r="I151">
        <v>-75.656700000000001</v>
      </c>
      <c r="J151">
        <v>4.8526600000000002</v>
      </c>
      <c r="K151" t="s">
        <v>30</v>
      </c>
      <c r="L151" s="1">
        <v>44614</v>
      </c>
      <c r="M151" s="2" t="s">
        <v>682</v>
      </c>
      <c r="N151" t="s">
        <v>20</v>
      </c>
      <c r="O151" t="s">
        <v>21</v>
      </c>
      <c r="P151" t="s">
        <v>22</v>
      </c>
    </row>
    <row r="152" spans="1:16" x14ac:dyDescent="0.25">
      <c r="A152" t="s">
        <v>16</v>
      </c>
      <c r="B152" t="s">
        <v>17</v>
      </c>
      <c r="C152" t="s">
        <v>18</v>
      </c>
      <c r="D152" s="1">
        <v>44614</v>
      </c>
      <c r="E152" s="2" t="s">
        <v>683</v>
      </c>
      <c r="F152" s="3" t="str">
        <f>HYPERLINK("https://maps.google.com/maps?q=4.85276,-75.65717&amp;ll=4.85276,-75.65717&amp;z=14.75z","Cra 10, 70A, , Comuna 9, Dosquebradas, Risaralda")</f>
        <v>Cra 10, 70A, , Comuna 9, Dosquebradas, Risaralda</v>
      </c>
      <c r="G152">
        <v>5</v>
      </c>
      <c r="H152">
        <v>138079</v>
      </c>
      <c r="I152">
        <v>-75.657169999999994</v>
      </c>
      <c r="J152">
        <v>4.85276</v>
      </c>
      <c r="K152" t="s">
        <v>19</v>
      </c>
      <c r="L152" s="1">
        <v>44614</v>
      </c>
      <c r="M152" s="2" t="s">
        <v>683</v>
      </c>
      <c r="N152" t="s">
        <v>20</v>
      </c>
      <c r="O152" t="s">
        <v>21</v>
      </c>
      <c r="P152" t="s">
        <v>22</v>
      </c>
    </row>
    <row r="153" spans="1:16" x14ac:dyDescent="0.25">
      <c r="A153" t="s">
        <v>16</v>
      </c>
      <c r="B153" t="s">
        <v>17</v>
      </c>
      <c r="C153" t="s">
        <v>18</v>
      </c>
      <c r="D153" s="1">
        <v>44614</v>
      </c>
      <c r="E153" s="2" t="s">
        <v>684</v>
      </c>
      <c r="F153" s="3" t="str">
        <f>HYPERLINK("https://maps.google.com/maps?q=4.85501,-75.65611&amp;ll=4.85501,-75.65611&amp;z=14.75z","Vía Dosquebradas - Sta Rosa Cabal, Km 0.13, , Comuna 9, Dosquebradas, Risaralda")</f>
        <v>Vía Dosquebradas - Sta Rosa Cabal, Km 0.13, , Comuna 9, Dosquebradas, Risaralda</v>
      </c>
      <c r="G153">
        <v>36</v>
      </c>
      <c r="H153">
        <v>138079</v>
      </c>
      <c r="I153">
        <v>-75.656109999999998</v>
      </c>
      <c r="J153">
        <v>4.85501</v>
      </c>
      <c r="K153" t="s">
        <v>24</v>
      </c>
      <c r="L153" s="1">
        <v>44614</v>
      </c>
      <c r="M153" s="2" t="s">
        <v>685</v>
      </c>
      <c r="N153" t="s">
        <v>20</v>
      </c>
      <c r="O153" t="s">
        <v>21</v>
      </c>
      <c r="P153" t="s">
        <v>22</v>
      </c>
    </row>
    <row r="154" spans="1:16" x14ac:dyDescent="0.25">
      <c r="A154" t="s">
        <v>16</v>
      </c>
      <c r="B154" t="s">
        <v>17</v>
      </c>
      <c r="C154" t="s">
        <v>18</v>
      </c>
      <c r="D154" s="1">
        <v>44614</v>
      </c>
      <c r="E154" s="2" t="s">
        <v>684</v>
      </c>
      <c r="F154" s="3" t="str">
        <f>HYPERLINK("https://maps.google.com/maps?q=4.85501,-75.65611&amp;ll=4.85501,-75.65611&amp;z=14.75z","Vía Dosquebradas - Sta Rosa Cabal, Km 0.13, , Comuna 9, Dosquebradas, Risaralda")</f>
        <v>Vía Dosquebradas - Sta Rosa Cabal, Km 0.13, , Comuna 9, Dosquebradas, Risaralda</v>
      </c>
      <c r="G154">
        <v>36</v>
      </c>
      <c r="H154">
        <v>138079</v>
      </c>
      <c r="I154">
        <v>-75.656109999999998</v>
      </c>
      <c r="J154">
        <v>4.85501</v>
      </c>
      <c r="K154" t="s">
        <v>24</v>
      </c>
      <c r="L154" s="1">
        <v>44614</v>
      </c>
      <c r="M154" s="2" t="s">
        <v>684</v>
      </c>
      <c r="N154" t="s">
        <v>20</v>
      </c>
      <c r="O154" t="s">
        <v>21</v>
      </c>
      <c r="P154" t="s">
        <v>22</v>
      </c>
    </row>
    <row r="155" spans="1:16" x14ac:dyDescent="0.25">
      <c r="A155" t="s">
        <v>16</v>
      </c>
      <c r="B155" t="s">
        <v>17</v>
      </c>
      <c r="C155" t="s">
        <v>18</v>
      </c>
      <c r="D155" s="1">
        <v>44614</v>
      </c>
      <c r="E155" s="2" t="s">
        <v>685</v>
      </c>
      <c r="F155" s="3" t="str">
        <f>HYPERLINK("https://maps.google.com/maps?q=4.85799,-75.6524&amp;ll=4.85799,-75.6524&amp;z=14.75z","Vía Dosquebradas - Sta Rosa Cabal, Km 0.76, , Comuna 9, Dosquebradas, Risaralda")</f>
        <v>Vía Dosquebradas - Sta Rosa Cabal, Km 0.76, , Comuna 9, Dosquebradas, Risaralda</v>
      </c>
      <c r="G155">
        <v>28</v>
      </c>
      <c r="H155">
        <v>138079</v>
      </c>
      <c r="I155">
        <v>-75.6524</v>
      </c>
      <c r="J155">
        <v>4.85799</v>
      </c>
      <c r="K155" t="s">
        <v>33</v>
      </c>
      <c r="L155" s="1">
        <v>44614</v>
      </c>
      <c r="M155" s="2" t="s">
        <v>685</v>
      </c>
      <c r="N155" t="s">
        <v>20</v>
      </c>
      <c r="O155" t="s">
        <v>21</v>
      </c>
      <c r="P155" t="s">
        <v>22</v>
      </c>
    </row>
    <row r="156" spans="1:16" x14ac:dyDescent="0.25">
      <c r="A156" t="s">
        <v>16</v>
      </c>
      <c r="B156" t="s">
        <v>17</v>
      </c>
      <c r="C156" t="s">
        <v>18</v>
      </c>
      <c r="D156" s="1">
        <v>44614</v>
      </c>
      <c r="E156" s="2" t="s">
        <v>686</v>
      </c>
      <c r="F156" s="3" t="str">
        <f>HYPERLINK("https://maps.google.com/maps?q=4.85675,-75.64798&amp;ll=4.85675,-75.64798&amp;z=14.75z","Vía Dosquebradas - Sta Rosa Cabal, Km 1.22, , El Rodeo, Dosquebradas, Risaralda")</f>
        <v>Vía Dosquebradas - Sta Rosa Cabal, Km 1.22, , El Rodeo, Dosquebradas, Risaralda</v>
      </c>
      <c r="G156">
        <v>39</v>
      </c>
      <c r="H156">
        <v>138080</v>
      </c>
      <c r="I156">
        <v>-75.647980000000004</v>
      </c>
      <c r="J156">
        <v>4.8567499999999999</v>
      </c>
      <c r="K156" t="s">
        <v>41</v>
      </c>
      <c r="L156" s="1">
        <v>44614</v>
      </c>
      <c r="M156" s="2" t="s">
        <v>686</v>
      </c>
      <c r="N156" t="s">
        <v>20</v>
      </c>
      <c r="O156" t="s">
        <v>21</v>
      </c>
      <c r="P156" t="s">
        <v>22</v>
      </c>
    </row>
    <row r="157" spans="1:16" x14ac:dyDescent="0.25">
      <c r="A157" t="s">
        <v>16</v>
      </c>
      <c r="B157" t="s">
        <v>17</v>
      </c>
      <c r="C157" t="s">
        <v>18</v>
      </c>
      <c r="D157" s="1">
        <v>44614</v>
      </c>
      <c r="E157" s="2" t="s">
        <v>687</v>
      </c>
      <c r="F157" s="3" t="str">
        <f>HYPERLINK("https://maps.google.com/maps?q=4.85563,-75.64534&amp;ll=4.85563,-75.64534&amp;z=14.75z","Vía Dosquebradas - Sta Rosa Cabal, Km 1.92, , El Rodeo, Dosquebradas, Risaralda")</f>
        <v>Vía Dosquebradas - Sta Rosa Cabal, Km 1.92, , El Rodeo, Dosquebradas, Risaralda</v>
      </c>
      <c r="G157">
        <v>28</v>
      </c>
      <c r="H157">
        <v>138081</v>
      </c>
      <c r="I157">
        <v>-75.645340000000004</v>
      </c>
      <c r="J157">
        <v>4.8556299999999997</v>
      </c>
      <c r="K157" t="s">
        <v>30</v>
      </c>
      <c r="L157" s="1">
        <v>44614</v>
      </c>
      <c r="M157" s="2" t="s">
        <v>687</v>
      </c>
      <c r="N157" t="s">
        <v>20</v>
      </c>
      <c r="O157" t="s">
        <v>21</v>
      </c>
      <c r="P157" t="s">
        <v>22</v>
      </c>
    </row>
    <row r="158" spans="1:16" x14ac:dyDescent="0.25">
      <c r="A158" t="s">
        <v>16</v>
      </c>
      <c r="B158" t="s">
        <v>17</v>
      </c>
      <c r="C158" t="s">
        <v>18</v>
      </c>
      <c r="D158" s="1">
        <v>44614</v>
      </c>
      <c r="E158" s="2" t="s">
        <v>688</v>
      </c>
      <c r="F158" s="3" t="str">
        <f>HYPERLINK("https://maps.google.com/maps?q=4.85276,-75.64847&amp;ll=4.85276,-75.64847&amp;z=14.75z","Vía Dosquebradas - Sta Rosa Cabal, Km 2.45, , El Rodeo, Dosquebradas, Risaralda")</f>
        <v>Vía Dosquebradas - Sta Rosa Cabal, Km 2.45, , El Rodeo, Dosquebradas, Risaralda</v>
      </c>
      <c r="G158">
        <v>29</v>
      </c>
      <c r="H158">
        <v>138081</v>
      </c>
      <c r="I158">
        <v>-75.648470000000003</v>
      </c>
      <c r="J158">
        <v>4.85276</v>
      </c>
      <c r="K158" t="s">
        <v>31</v>
      </c>
      <c r="L158" s="1">
        <v>44614</v>
      </c>
      <c r="M158" s="2" t="s">
        <v>688</v>
      </c>
      <c r="N158" t="s">
        <v>20</v>
      </c>
      <c r="O158" t="s">
        <v>21</v>
      </c>
      <c r="P158" t="s">
        <v>22</v>
      </c>
    </row>
    <row r="159" spans="1:16" x14ac:dyDescent="0.25">
      <c r="A159" t="s">
        <v>16</v>
      </c>
      <c r="B159" t="s">
        <v>17</v>
      </c>
      <c r="C159" t="s">
        <v>18</v>
      </c>
      <c r="D159" s="1">
        <v>44614</v>
      </c>
      <c r="E159" s="2" t="s">
        <v>688</v>
      </c>
      <c r="F159" s="3" t="str">
        <f>HYPERLINK("https://maps.google.com/maps?q=4.85374,-75.64525&amp;ll=4.85374,-75.64525&amp;z=14.75z","Vía Dosquebradas - Sta Rosa Cabal, Km 2.86, , El Rodeo, Dosquebradas, Risaralda")</f>
        <v>Vía Dosquebradas - Sta Rosa Cabal, Km 2.86, , El Rodeo, Dosquebradas, Risaralda</v>
      </c>
      <c r="G159">
        <v>30</v>
      </c>
      <c r="H159">
        <v>138082</v>
      </c>
      <c r="I159">
        <v>-75.645250000000004</v>
      </c>
      <c r="J159">
        <v>4.8537400000000002</v>
      </c>
      <c r="K159" t="s">
        <v>41</v>
      </c>
      <c r="L159" s="1">
        <v>44614</v>
      </c>
      <c r="M159" s="2" t="s">
        <v>689</v>
      </c>
      <c r="N159" t="s">
        <v>20</v>
      </c>
      <c r="O159" t="s">
        <v>21</v>
      </c>
      <c r="P159" t="s">
        <v>22</v>
      </c>
    </row>
    <row r="160" spans="1:16" x14ac:dyDescent="0.25">
      <c r="A160" t="s">
        <v>16</v>
      </c>
      <c r="B160" t="s">
        <v>17</v>
      </c>
      <c r="C160" t="s">
        <v>27</v>
      </c>
      <c r="D160" s="1">
        <v>44614</v>
      </c>
      <c r="E160" s="2" t="s">
        <v>690</v>
      </c>
      <c r="F160" s="3" t="str">
        <f t="shared" ref="F160:F167" si="1">HYPERLINK("https://maps.google.com/maps?q=4.85416,-75.64176&amp;ll=4.85416,-75.64176&amp;z=14.75z","Vía Dosquebradas - Sta Rosa Cabal, Km 3.79, , El Rodeo, Dosquebradas, Risaralda")</f>
        <v>Vía Dosquebradas - Sta Rosa Cabal, Km 3.79, , El Rodeo, Dosquebradas, Risaralda</v>
      </c>
      <c r="G160">
        <v>28</v>
      </c>
      <c r="H160">
        <v>138082</v>
      </c>
      <c r="I160">
        <v>-75.641760000000005</v>
      </c>
      <c r="J160">
        <v>4.8541600000000003</v>
      </c>
      <c r="K160" t="s">
        <v>23</v>
      </c>
      <c r="L160" s="1">
        <v>44614</v>
      </c>
      <c r="M160" s="2" t="s">
        <v>690</v>
      </c>
      <c r="N160" t="s">
        <v>20</v>
      </c>
      <c r="O160" t="s">
        <v>21</v>
      </c>
      <c r="P160" t="s">
        <v>28</v>
      </c>
    </row>
    <row r="161" spans="1:16" x14ac:dyDescent="0.25">
      <c r="A161" t="s">
        <v>16</v>
      </c>
      <c r="B161" t="s">
        <v>17</v>
      </c>
      <c r="C161" t="s">
        <v>18</v>
      </c>
      <c r="D161" s="1">
        <v>44614</v>
      </c>
      <c r="E161" s="2" t="s">
        <v>690</v>
      </c>
      <c r="F161" s="3" t="str">
        <f t="shared" si="1"/>
        <v>Vía Dosquebradas - Sta Rosa Cabal, Km 3.79, , El Rodeo, Dosquebradas, Risaralda</v>
      </c>
      <c r="G161">
        <v>28</v>
      </c>
      <c r="H161">
        <v>138082</v>
      </c>
      <c r="I161">
        <v>-75.641760000000005</v>
      </c>
      <c r="J161">
        <v>4.8541600000000003</v>
      </c>
      <c r="K161" t="s">
        <v>23</v>
      </c>
      <c r="L161" s="1">
        <v>44614</v>
      </c>
      <c r="M161" s="2" t="s">
        <v>691</v>
      </c>
      <c r="N161" t="s">
        <v>20</v>
      </c>
      <c r="O161" t="s">
        <v>21</v>
      </c>
      <c r="P161" t="s">
        <v>28</v>
      </c>
    </row>
    <row r="162" spans="1:16" x14ac:dyDescent="0.25">
      <c r="A162" t="s">
        <v>16</v>
      </c>
      <c r="B162" t="s">
        <v>17</v>
      </c>
      <c r="C162" t="s">
        <v>27</v>
      </c>
      <c r="D162" s="1">
        <v>44614</v>
      </c>
      <c r="E162" s="2" t="s">
        <v>691</v>
      </c>
      <c r="F162" s="3" t="str">
        <f t="shared" si="1"/>
        <v>Vía Dosquebradas - Sta Rosa Cabal, Km 3.79, , El Rodeo, Dosquebradas, Risaralda</v>
      </c>
      <c r="G162">
        <v>28</v>
      </c>
      <c r="H162">
        <v>138082</v>
      </c>
      <c r="I162">
        <v>-75.641760000000005</v>
      </c>
      <c r="J162">
        <v>4.8541600000000003</v>
      </c>
      <c r="K162" t="s">
        <v>23</v>
      </c>
      <c r="L162" s="1">
        <v>44614</v>
      </c>
      <c r="M162" s="2" t="s">
        <v>691</v>
      </c>
      <c r="N162" t="s">
        <v>20</v>
      </c>
      <c r="O162" t="s">
        <v>21</v>
      </c>
      <c r="P162" t="s">
        <v>28</v>
      </c>
    </row>
    <row r="163" spans="1:16" x14ac:dyDescent="0.25">
      <c r="A163" t="s">
        <v>16</v>
      </c>
      <c r="B163" t="s">
        <v>17</v>
      </c>
      <c r="C163" t="s">
        <v>18</v>
      </c>
      <c r="D163" s="1">
        <v>44614</v>
      </c>
      <c r="E163" s="2" t="s">
        <v>691</v>
      </c>
      <c r="F163" s="3" t="str">
        <f t="shared" si="1"/>
        <v>Vía Dosquebradas - Sta Rosa Cabal, Km 3.79, , El Rodeo, Dosquebradas, Risaralda</v>
      </c>
      <c r="G163">
        <v>28</v>
      </c>
      <c r="H163">
        <v>138082</v>
      </c>
      <c r="I163">
        <v>-75.641760000000005</v>
      </c>
      <c r="J163">
        <v>4.8541600000000003</v>
      </c>
      <c r="K163" t="s">
        <v>23</v>
      </c>
      <c r="L163" s="1">
        <v>44614</v>
      </c>
      <c r="M163" s="2" t="s">
        <v>691</v>
      </c>
      <c r="N163" t="s">
        <v>20</v>
      </c>
      <c r="O163" t="s">
        <v>21</v>
      </c>
      <c r="P163" t="s">
        <v>28</v>
      </c>
    </row>
    <row r="164" spans="1:16" x14ac:dyDescent="0.25">
      <c r="A164" t="s">
        <v>16</v>
      </c>
      <c r="B164" t="s">
        <v>17</v>
      </c>
      <c r="C164" t="s">
        <v>18</v>
      </c>
      <c r="D164" s="1">
        <v>44614</v>
      </c>
      <c r="E164" s="2" t="s">
        <v>692</v>
      </c>
      <c r="F164" s="3" t="str">
        <f t="shared" si="1"/>
        <v>Vía Dosquebradas - Sta Rosa Cabal, Km 3.79, , El Rodeo, Dosquebradas, Risaralda</v>
      </c>
      <c r="G164">
        <v>28</v>
      </c>
      <c r="H164">
        <v>138082</v>
      </c>
      <c r="I164">
        <v>-75.641760000000005</v>
      </c>
      <c r="J164">
        <v>4.8541600000000003</v>
      </c>
      <c r="K164" t="s">
        <v>23</v>
      </c>
      <c r="L164" s="1">
        <v>44614</v>
      </c>
      <c r="M164" s="2" t="s">
        <v>694</v>
      </c>
      <c r="N164" t="s">
        <v>20</v>
      </c>
      <c r="O164" t="s">
        <v>21</v>
      </c>
      <c r="P164" t="s">
        <v>28</v>
      </c>
    </row>
    <row r="165" spans="1:16" x14ac:dyDescent="0.25">
      <c r="A165" t="s">
        <v>16</v>
      </c>
      <c r="B165" t="s">
        <v>17</v>
      </c>
      <c r="C165" t="s">
        <v>27</v>
      </c>
      <c r="D165" s="1">
        <v>44614</v>
      </c>
      <c r="E165" s="2" t="s">
        <v>693</v>
      </c>
      <c r="F165" s="3" t="str">
        <f t="shared" si="1"/>
        <v>Vía Dosquebradas - Sta Rosa Cabal, Km 3.79, , El Rodeo, Dosquebradas, Risaralda</v>
      </c>
      <c r="G165">
        <v>28</v>
      </c>
      <c r="H165">
        <v>138082</v>
      </c>
      <c r="I165">
        <v>-75.641760000000005</v>
      </c>
      <c r="J165">
        <v>4.8541600000000003</v>
      </c>
      <c r="K165" t="s">
        <v>23</v>
      </c>
      <c r="L165" s="1">
        <v>44614</v>
      </c>
      <c r="M165" s="2" t="s">
        <v>694</v>
      </c>
      <c r="N165" t="s">
        <v>20</v>
      </c>
      <c r="O165" t="s">
        <v>21</v>
      </c>
      <c r="P165" t="s">
        <v>28</v>
      </c>
    </row>
    <row r="166" spans="1:16" x14ac:dyDescent="0.25">
      <c r="A166" t="s">
        <v>16</v>
      </c>
      <c r="B166" t="s">
        <v>17</v>
      </c>
      <c r="C166" t="s">
        <v>18</v>
      </c>
      <c r="D166" s="1">
        <v>44614</v>
      </c>
      <c r="E166" s="2" t="s">
        <v>694</v>
      </c>
      <c r="F166" s="3" t="str">
        <f t="shared" si="1"/>
        <v>Vía Dosquebradas - Sta Rosa Cabal, Km 3.79, , El Rodeo, Dosquebradas, Risaralda</v>
      </c>
      <c r="G166">
        <v>28</v>
      </c>
      <c r="H166">
        <v>138082</v>
      </c>
      <c r="I166">
        <v>-75.641760000000005</v>
      </c>
      <c r="J166">
        <v>4.8541600000000003</v>
      </c>
      <c r="K166" t="s">
        <v>23</v>
      </c>
      <c r="L166" s="1">
        <v>44614</v>
      </c>
      <c r="M166" s="2" t="s">
        <v>695</v>
      </c>
      <c r="N166" t="s">
        <v>20</v>
      </c>
      <c r="O166" t="s">
        <v>21</v>
      </c>
      <c r="P166" t="s">
        <v>28</v>
      </c>
    </row>
    <row r="167" spans="1:16" x14ac:dyDescent="0.25">
      <c r="A167" t="s">
        <v>16</v>
      </c>
      <c r="B167" t="s">
        <v>17</v>
      </c>
      <c r="C167" t="s">
        <v>18</v>
      </c>
      <c r="D167" s="1">
        <v>44614</v>
      </c>
      <c r="E167" s="2" t="s">
        <v>695</v>
      </c>
      <c r="F167" s="3" t="str">
        <f t="shared" si="1"/>
        <v>Vía Dosquebradas - Sta Rosa Cabal, Km 3.79, , El Rodeo, Dosquebradas, Risaralda</v>
      </c>
      <c r="G167">
        <v>28</v>
      </c>
      <c r="H167">
        <v>138082</v>
      </c>
      <c r="I167">
        <v>-75.641760000000005</v>
      </c>
      <c r="J167">
        <v>4.8541600000000003</v>
      </c>
      <c r="K167" t="s">
        <v>23</v>
      </c>
      <c r="L167" s="1">
        <v>44614</v>
      </c>
      <c r="M167" s="2" t="s">
        <v>695</v>
      </c>
      <c r="N167" t="s">
        <v>20</v>
      </c>
      <c r="O167" t="s">
        <v>21</v>
      </c>
      <c r="P167" t="s">
        <v>28</v>
      </c>
    </row>
    <row r="168" spans="1:16" x14ac:dyDescent="0.25">
      <c r="A168" t="s">
        <v>16</v>
      </c>
      <c r="B168" t="s">
        <v>17</v>
      </c>
      <c r="C168" t="s">
        <v>18</v>
      </c>
      <c r="D168" s="1">
        <v>44614</v>
      </c>
      <c r="E168" s="2" t="s">
        <v>695</v>
      </c>
      <c r="F168" s="3" t="str">
        <f>HYPERLINK("https://maps.google.com/maps?q=4.88216,-75.63021&amp;ll=4.88216,-75.63021&amp;z=14.75z","Vía Manizales - Pereira, , , Santa Rosa de Cabal, Risaralda")</f>
        <v>Vía Manizales - Pereira, , , Santa Rosa de Cabal, Risaralda</v>
      </c>
      <c r="G168">
        <v>47</v>
      </c>
      <c r="H168">
        <v>138085</v>
      </c>
      <c r="I168">
        <v>-75.630210000000005</v>
      </c>
      <c r="J168">
        <v>4.8821599999999998</v>
      </c>
      <c r="K168" t="s">
        <v>24</v>
      </c>
      <c r="L168" s="1">
        <v>44614</v>
      </c>
      <c r="M168" s="2" t="s">
        <v>209</v>
      </c>
      <c r="N168" t="s">
        <v>20</v>
      </c>
      <c r="O168" t="s">
        <v>21</v>
      </c>
      <c r="P168" t="s">
        <v>22</v>
      </c>
    </row>
    <row r="169" spans="1:16" x14ac:dyDescent="0.25">
      <c r="A169" t="s">
        <v>16</v>
      </c>
      <c r="B169" t="s">
        <v>17</v>
      </c>
      <c r="C169" t="s">
        <v>18</v>
      </c>
      <c r="D169" s="1">
        <v>44614</v>
      </c>
      <c r="E169" s="2" t="s">
        <v>209</v>
      </c>
      <c r="F169" s="3" t="str">
        <f>HYPERLINK("https://maps.google.com/maps?q=4.88887,-75.62779&amp;ll=4.88887,-75.62779&amp;z=14.75z","Vía Manizales - Pereira, Belén, , Santa Rosa de Cabal, Risaralda")</f>
        <v>Vía Manizales - Pereira, Belén, , Santa Rosa de Cabal, Risaralda</v>
      </c>
      <c r="G169">
        <v>38</v>
      </c>
      <c r="H169">
        <v>138086</v>
      </c>
      <c r="I169">
        <v>-75.627790000000005</v>
      </c>
      <c r="J169">
        <v>4.8888699999999998</v>
      </c>
      <c r="K169" t="s">
        <v>23</v>
      </c>
      <c r="L169" s="1">
        <v>44614</v>
      </c>
      <c r="M169" s="2" t="s">
        <v>210</v>
      </c>
      <c r="N169" t="s">
        <v>20</v>
      </c>
      <c r="O169" t="s">
        <v>21</v>
      </c>
      <c r="P169" t="s">
        <v>22</v>
      </c>
    </row>
    <row r="170" spans="1:16" x14ac:dyDescent="0.25">
      <c r="A170" t="s">
        <v>16</v>
      </c>
      <c r="B170" t="s">
        <v>17</v>
      </c>
      <c r="C170" t="s">
        <v>27</v>
      </c>
      <c r="D170" s="1">
        <v>44614</v>
      </c>
      <c r="E170" s="2" t="s">
        <v>696</v>
      </c>
      <c r="F170" s="3" t="str">
        <f>HYPERLINK("https://maps.google.com/maps?q=4.89243,-75.62716&amp;ll=4.89243,-75.62716&amp;z=14.75z","Vía Manizales - Pereira, , , Santa Rosa de Cabal, Risaralda")</f>
        <v>Vía Manizales - Pereira, , , Santa Rosa de Cabal, Risaralda</v>
      </c>
      <c r="G170">
        <v>45</v>
      </c>
      <c r="H170">
        <v>138086</v>
      </c>
      <c r="I170">
        <v>-75.627160000000003</v>
      </c>
      <c r="J170">
        <v>4.8924300000000001</v>
      </c>
      <c r="K170" t="s">
        <v>23</v>
      </c>
      <c r="L170" s="1">
        <v>44614</v>
      </c>
      <c r="M170" s="2" t="s">
        <v>696</v>
      </c>
      <c r="N170" t="s">
        <v>20</v>
      </c>
      <c r="O170" t="s">
        <v>21</v>
      </c>
      <c r="P170" t="s">
        <v>28</v>
      </c>
    </row>
    <row r="171" spans="1:16" x14ac:dyDescent="0.25">
      <c r="A171" t="s">
        <v>16</v>
      </c>
      <c r="B171" t="s">
        <v>17</v>
      </c>
      <c r="C171" t="s">
        <v>18</v>
      </c>
      <c r="D171" s="1">
        <v>44614</v>
      </c>
      <c r="E171" s="2" t="s">
        <v>696</v>
      </c>
      <c r="F171" s="3" t="str">
        <f>HYPERLINK("https://maps.google.com/maps?q=4.89243,-75.62716&amp;ll=4.89243,-75.62716&amp;z=14.75z","Vía Manizales - Pereira, , , Santa Rosa de Cabal, Risaralda")</f>
        <v>Vía Manizales - Pereira, , , Santa Rosa de Cabal, Risaralda</v>
      </c>
      <c r="G171">
        <v>45</v>
      </c>
      <c r="H171">
        <v>138086</v>
      </c>
      <c r="I171">
        <v>-75.627160000000003</v>
      </c>
      <c r="J171">
        <v>4.8924300000000001</v>
      </c>
      <c r="K171" t="s">
        <v>23</v>
      </c>
      <c r="L171" s="1">
        <v>44614</v>
      </c>
      <c r="M171" s="2" t="s">
        <v>696</v>
      </c>
      <c r="N171" t="s">
        <v>20</v>
      </c>
      <c r="O171" t="s">
        <v>21</v>
      </c>
      <c r="P171" t="s">
        <v>28</v>
      </c>
    </row>
    <row r="172" spans="1:16" x14ac:dyDescent="0.25">
      <c r="A172" t="s">
        <v>16</v>
      </c>
      <c r="B172" t="s">
        <v>17</v>
      </c>
      <c r="C172" t="s">
        <v>18</v>
      </c>
      <c r="D172" s="1">
        <v>44614</v>
      </c>
      <c r="E172" s="2" t="s">
        <v>696</v>
      </c>
      <c r="F172" s="3" t="str">
        <f>HYPERLINK("https://maps.google.com/maps?q=4.89243,-75.62716&amp;ll=4.89243,-75.62716&amp;z=14.75z","Vía Manizales - Pereira, , , Santa Rosa de Cabal, Risaralda")</f>
        <v>Vía Manizales - Pereira, , , Santa Rosa de Cabal, Risaralda</v>
      </c>
      <c r="G172">
        <v>45</v>
      </c>
      <c r="H172">
        <v>138086</v>
      </c>
      <c r="I172">
        <v>-75.627160000000003</v>
      </c>
      <c r="J172">
        <v>4.8924300000000001</v>
      </c>
      <c r="K172" t="s">
        <v>23</v>
      </c>
      <c r="L172" s="1">
        <v>44614</v>
      </c>
      <c r="M172" s="2" t="s">
        <v>211</v>
      </c>
      <c r="N172" t="s">
        <v>20</v>
      </c>
      <c r="O172" t="s">
        <v>21</v>
      </c>
      <c r="P172" t="s">
        <v>28</v>
      </c>
    </row>
    <row r="173" spans="1:16" x14ac:dyDescent="0.25">
      <c r="A173" t="s">
        <v>16</v>
      </c>
      <c r="B173" t="s">
        <v>17</v>
      </c>
      <c r="C173" t="s">
        <v>18</v>
      </c>
      <c r="D173" s="1">
        <v>44614</v>
      </c>
      <c r="E173" s="2" t="s">
        <v>211</v>
      </c>
      <c r="F173" s="3" t="str">
        <f>HYPERLINK("https://maps.google.com/maps?q=4.90663,-75.62594&amp;ll=4.90663,-75.62594&amp;z=14.75z","Vía Manizales - Pereira, , Guacas, Santa Rosa de Cabal, Risaralda")</f>
        <v>Vía Manizales - Pereira, , Guacas, Santa Rosa de Cabal, Risaralda</v>
      </c>
      <c r="G173">
        <v>53</v>
      </c>
      <c r="H173">
        <v>138088</v>
      </c>
      <c r="I173">
        <v>-75.62594</v>
      </c>
      <c r="J173">
        <v>4.9066299999999998</v>
      </c>
      <c r="K173" t="s">
        <v>23</v>
      </c>
      <c r="L173" s="1">
        <v>44614</v>
      </c>
      <c r="M173" s="2" t="s">
        <v>211</v>
      </c>
      <c r="N173" t="s">
        <v>20</v>
      </c>
      <c r="O173" t="s">
        <v>21</v>
      </c>
      <c r="P173" t="s">
        <v>22</v>
      </c>
    </row>
    <row r="174" spans="1:16" x14ac:dyDescent="0.25">
      <c r="A174" t="s">
        <v>16</v>
      </c>
      <c r="B174" t="s">
        <v>17</v>
      </c>
      <c r="C174" t="s">
        <v>18</v>
      </c>
      <c r="D174" s="1">
        <v>44614</v>
      </c>
      <c r="E174" s="2" t="s">
        <v>212</v>
      </c>
      <c r="F174" s="3" t="str">
        <f>HYPERLINK("https://maps.google.com/maps?q=4.91141,-75.62632&amp;ll=4.91141,-75.62632&amp;z=14.75z","Vía Manizales - Pereira, , , Santa Rosa de Cabal, Risaralda")</f>
        <v>Vía Manizales - Pereira, , , Santa Rosa de Cabal, Risaralda</v>
      </c>
      <c r="G174">
        <v>19</v>
      </c>
      <c r="H174">
        <v>138089</v>
      </c>
      <c r="I174">
        <v>-75.626320000000007</v>
      </c>
      <c r="J174">
        <v>4.9114100000000001</v>
      </c>
      <c r="K174" t="s">
        <v>24</v>
      </c>
      <c r="L174" s="1">
        <v>44614</v>
      </c>
      <c r="M174" s="2" t="s">
        <v>212</v>
      </c>
      <c r="N174" t="s">
        <v>20</v>
      </c>
      <c r="O174" t="s">
        <v>21</v>
      </c>
      <c r="P174" t="s">
        <v>22</v>
      </c>
    </row>
    <row r="175" spans="1:16" x14ac:dyDescent="0.25">
      <c r="A175" t="s">
        <v>16</v>
      </c>
      <c r="B175" t="s">
        <v>17</v>
      </c>
      <c r="C175" t="s">
        <v>193</v>
      </c>
      <c r="D175" s="1">
        <v>44614</v>
      </c>
      <c r="E175" s="2" t="s">
        <v>212</v>
      </c>
      <c r="F175" s="3" t="str">
        <f>HYPERLINK("https://maps.google.com/maps?q=4.91235,-75.6252&amp;ll=4.91235,-75.6252&amp;z=14.75z","Vía Chinchiná - Sta Rosa de Cabal, Km 7.72, , Guacas, Santa Rosa de Cabal, Risaralda")</f>
        <v>Vía Chinchiná - Sta Rosa de Cabal, Km 7.72, , Guacas, Santa Rosa de Cabal, Risaralda</v>
      </c>
      <c r="G175">
        <v>35</v>
      </c>
      <c r="H175">
        <v>138089</v>
      </c>
      <c r="I175">
        <v>-75.625200000000007</v>
      </c>
      <c r="J175">
        <v>4.91235</v>
      </c>
      <c r="K175" t="s">
        <v>24</v>
      </c>
      <c r="L175" s="1">
        <v>44614</v>
      </c>
      <c r="M175" s="2" t="s">
        <v>212</v>
      </c>
      <c r="N175" t="s">
        <v>20</v>
      </c>
      <c r="O175" t="s">
        <v>21</v>
      </c>
      <c r="P175" t="s">
        <v>22</v>
      </c>
    </row>
    <row r="176" spans="1:16" x14ac:dyDescent="0.25">
      <c r="A176" t="s">
        <v>16</v>
      </c>
      <c r="B176" t="s">
        <v>17</v>
      </c>
      <c r="C176" t="s">
        <v>18</v>
      </c>
      <c r="D176" s="1">
        <v>44614</v>
      </c>
      <c r="E176" s="2" t="s">
        <v>213</v>
      </c>
      <c r="F176" s="3" t="str">
        <f>HYPERLINK("https://maps.google.com/maps?q=4.91538,-75.62471&amp;ll=4.91538,-75.62471&amp;z=14.75z","Vía Chinchiná - Sta Rosa de Cabal, Km 7.37, , Guacas, Santa Rosa de Cabal, Risaralda")</f>
        <v>Vía Chinchiná - Sta Rosa de Cabal, Km 7.37, , Guacas, Santa Rosa de Cabal, Risaralda</v>
      </c>
      <c r="G176">
        <v>31</v>
      </c>
      <c r="H176">
        <v>138089</v>
      </c>
      <c r="I176">
        <v>-75.624709999999993</v>
      </c>
      <c r="J176">
        <v>4.9153799999999999</v>
      </c>
      <c r="K176" t="s">
        <v>23</v>
      </c>
      <c r="L176" s="1">
        <v>44614</v>
      </c>
      <c r="M176" s="2" t="s">
        <v>213</v>
      </c>
      <c r="N176" t="s">
        <v>20</v>
      </c>
      <c r="O176" t="s">
        <v>21</v>
      </c>
      <c r="P176" t="s">
        <v>22</v>
      </c>
    </row>
    <row r="177" spans="1:16" x14ac:dyDescent="0.25">
      <c r="A177" t="s">
        <v>16</v>
      </c>
      <c r="B177" t="s">
        <v>17</v>
      </c>
      <c r="C177" t="s">
        <v>18</v>
      </c>
      <c r="D177" s="1">
        <v>44614</v>
      </c>
      <c r="E177" s="2" t="s">
        <v>214</v>
      </c>
      <c r="F177" s="3" t="str">
        <f>HYPERLINK("https://maps.google.com/maps?q=4.91948,-75.6238&amp;ll=4.91948,-75.6238&amp;z=14.75z","Vía Chinchiná - Sta Rosa de Cabal, Km 6.85, , Guacas, Santa Rosa de Cabal, Risaralda")</f>
        <v>Vía Chinchiná - Sta Rosa de Cabal, Km 6.85, , Guacas, Santa Rosa de Cabal, Risaralda</v>
      </c>
      <c r="G177">
        <v>34</v>
      </c>
      <c r="H177">
        <v>138090</v>
      </c>
      <c r="I177">
        <v>-75.623800000000003</v>
      </c>
      <c r="J177">
        <v>4.9194800000000001</v>
      </c>
      <c r="K177" t="s">
        <v>19</v>
      </c>
      <c r="L177" s="1">
        <v>44614</v>
      </c>
      <c r="M177" s="2" t="s">
        <v>214</v>
      </c>
      <c r="N177" t="s">
        <v>20</v>
      </c>
      <c r="O177" t="s">
        <v>21</v>
      </c>
      <c r="P177" t="s">
        <v>22</v>
      </c>
    </row>
    <row r="178" spans="1:16" x14ac:dyDescent="0.25">
      <c r="A178" t="s">
        <v>16</v>
      </c>
      <c r="B178" t="s">
        <v>17</v>
      </c>
      <c r="C178" t="s">
        <v>18</v>
      </c>
      <c r="D178" s="1">
        <v>44614</v>
      </c>
      <c r="E178" s="2" t="s">
        <v>215</v>
      </c>
      <c r="F178" s="3" t="str">
        <f>HYPERLINK("https://maps.google.com/maps?q=4.92193,-75.62404&amp;ll=4.92193,-75.62404&amp;z=14.75z","Vía Chinchiná - Sta Rosa de Cabal, Km 6.53, , Guacas, Santa Rosa de Cabal, Risaralda")</f>
        <v>Vía Chinchiná - Sta Rosa de Cabal, Km 6.53, , Guacas, Santa Rosa de Cabal, Risaralda</v>
      </c>
      <c r="G178">
        <v>31</v>
      </c>
      <c r="H178">
        <v>138090</v>
      </c>
      <c r="I178">
        <v>-75.624039999999994</v>
      </c>
      <c r="J178">
        <v>4.9219299999999997</v>
      </c>
      <c r="K178" t="s">
        <v>23</v>
      </c>
      <c r="L178" s="1">
        <v>44614</v>
      </c>
      <c r="M178" s="2" t="s">
        <v>217</v>
      </c>
      <c r="N178" t="s">
        <v>20</v>
      </c>
      <c r="O178" t="s">
        <v>21</v>
      </c>
      <c r="P178" t="s">
        <v>22</v>
      </c>
    </row>
    <row r="179" spans="1:16" x14ac:dyDescent="0.25">
      <c r="A179" t="s">
        <v>16</v>
      </c>
      <c r="B179" t="s">
        <v>17</v>
      </c>
      <c r="C179" t="s">
        <v>27</v>
      </c>
      <c r="D179" s="1">
        <v>44614</v>
      </c>
      <c r="E179" s="2" t="s">
        <v>215</v>
      </c>
      <c r="F179" s="3" t="str">
        <f t="shared" ref="F179:F185" si="2">HYPERLINK("https://maps.google.com/maps?q=4.92193,-75.62404&amp;ll=4.92193,-75.62404&amp;z=14.75z","Vía Manizales - Pereira, , Guacas, Santa Rosa de Cabal, Risaralda")</f>
        <v>Vía Manizales - Pereira, , Guacas, Santa Rosa de Cabal, Risaralda</v>
      </c>
      <c r="G179">
        <v>31</v>
      </c>
      <c r="H179">
        <v>138090</v>
      </c>
      <c r="I179">
        <v>-75.624039999999994</v>
      </c>
      <c r="J179">
        <v>4.9219299999999997</v>
      </c>
      <c r="K179" t="s">
        <v>23</v>
      </c>
      <c r="L179" s="1">
        <v>44614</v>
      </c>
      <c r="M179" s="2" t="s">
        <v>217</v>
      </c>
      <c r="N179" t="s">
        <v>20</v>
      </c>
      <c r="O179" t="s">
        <v>21</v>
      </c>
      <c r="P179" t="s">
        <v>28</v>
      </c>
    </row>
    <row r="180" spans="1:16" x14ac:dyDescent="0.25">
      <c r="A180" t="s">
        <v>16</v>
      </c>
      <c r="B180" t="s">
        <v>17</v>
      </c>
      <c r="C180" t="s">
        <v>18</v>
      </c>
      <c r="D180" s="1">
        <v>44614</v>
      </c>
      <c r="E180" s="2" t="s">
        <v>216</v>
      </c>
      <c r="F180" s="3" t="str">
        <f t="shared" si="2"/>
        <v>Vía Manizales - Pereira, , Guacas, Santa Rosa de Cabal, Risaralda</v>
      </c>
      <c r="G180">
        <v>31</v>
      </c>
      <c r="H180">
        <v>138090</v>
      </c>
      <c r="I180">
        <v>-75.624039999999994</v>
      </c>
      <c r="J180">
        <v>4.9219299999999997</v>
      </c>
      <c r="K180" t="s">
        <v>23</v>
      </c>
      <c r="L180" s="1">
        <v>44614</v>
      </c>
      <c r="M180" s="2" t="s">
        <v>217</v>
      </c>
      <c r="N180" t="s">
        <v>20</v>
      </c>
      <c r="O180" t="s">
        <v>21</v>
      </c>
      <c r="P180" t="s">
        <v>28</v>
      </c>
    </row>
    <row r="181" spans="1:16" x14ac:dyDescent="0.25">
      <c r="A181" t="s">
        <v>16</v>
      </c>
      <c r="B181" t="s">
        <v>17</v>
      </c>
      <c r="C181" t="s">
        <v>18</v>
      </c>
      <c r="D181" s="1">
        <v>44614</v>
      </c>
      <c r="E181" s="2" t="s">
        <v>217</v>
      </c>
      <c r="F181" s="3" t="str">
        <f t="shared" si="2"/>
        <v>Vía Manizales - Pereira, , Guacas, Santa Rosa de Cabal, Risaralda</v>
      </c>
      <c r="G181">
        <v>31</v>
      </c>
      <c r="H181">
        <v>138090</v>
      </c>
      <c r="I181">
        <v>-75.624039999999994</v>
      </c>
      <c r="J181">
        <v>4.9219299999999997</v>
      </c>
      <c r="K181" t="s">
        <v>23</v>
      </c>
      <c r="L181" s="1">
        <v>44614</v>
      </c>
      <c r="M181" s="2" t="s">
        <v>218</v>
      </c>
      <c r="N181" t="s">
        <v>20</v>
      </c>
      <c r="O181" t="s">
        <v>21</v>
      </c>
      <c r="P181" t="s">
        <v>28</v>
      </c>
    </row>
    <row r="182" spans="1:16" x14ac:dyDescent="0.25">
      <c r="A182" t="s">
        <v>16</v>
      </c>
      <c r="B182" t="s">
        <v>17</v>
      </c>
      <c r="C182" t="s">
        <v>18</v>
      </c>
      <c r="D182" s="1">
        <v>44614</v>
      </c>
      <c r="E182" s="2" t="s">
        <v>218</v>
      </c>
      <c r="F182" s="3" t="str">
        <f t="shared" si="2"/>
        <v>Vía Manizales - Pereira, , Guacas, Santa Rosa de Cabal, Risaralda</v>
      </c>
      <c r="G182">
        <v>31</v>
      </c>
      <c r="H182">
        <v>138090</v>
      </c>
      <c r="I182">
        <v>-75.624039999999994</v>
      </c>
      <c r="J182">
        <v>4.9219299999999997</v>
      </c>
      <c r="K182" t="s">
        <v>23</v>
      </c>
      <c r="L182" s="1">
        <v>44614</v>
      </c>
      <c r="M182" s="2" t="s">
        <v>219</v>
      </c>
      <c r="N182" t="s">
        <v>20</v>
      </c>
      <c r="O182" t="s">
        <v>21</v>
      </c>
      <c r="P182" t="s">
        <v>28</v>
      </c>
    </row>
    <row r="183" spans="1:16" x14ac:dyDescent="0.25">
      <c r="A183" t="s">
        <v>16</v>
      </c>
      <c r="B183" t="s">
        <v>17</v>
      </c>
      <c r="C183" t="s">
        <v>18</v>
      </c>
      <c r="D183" s="1">
        <v>44614</v>
      </c>
      <c r="E183" s="2" t="s">
        <v>219</v>
      </c>
      <c r="F183" s="3" t="str">
        <f t="shared" si="2"/>
        <v>Vía Manizales - Pereira, , Guacas, Santa Rosa de Cabal, Risaralda</v>
      </c>
      <c r="G183">
        <v>31</v>
      </c>
      <c r="H183">
        <v>138090</v>
      </c>
      <c r="I183">
        <v>-75.624039999999994</v>
      </c>
      <c r="J183">
        <v>4.9219299999999997</v>
      </c>
      <c r="K183" t="s">
        <v>23</v>
      </c>
      <c r="L183" s="1">
        <v>44614</v>
      </c>
      <c r="M183" s="2" t="s">
        <v>219</v>
      </c>
      <c r="N183" t="s">
        <v>20</v>
      </c>
      <c r="O183" t="s">
        <v>21</v>
      </c>
      <c r="P183" t="s">
        <v>28</v>
      </c>
    </row>
    <row r="184" spans="1:16" x14ac:dyDescent="0.25">
      <c r="A184" t="s">
        <v>16</v>
      </c>
      <c r="B184" t="s">
        <v>17</v>
      </c>
      <c r="C184" t="s">
        <v>18</v>
      </c>
      <c r="D184" s="1">
        <v>44614</v>
      </c>
      <c r="E184" s="2" t="s">
        <v>220</v>
      </c>
      <c r="F184" s="3" t="str">
        <f t="shared" si="2"/>
        <v>Vía Manizales - Pereira, , Guacas, Santa Rosa de Cabal, Risaralda</v>
      </c>
      <c r="G184">
        <v>31</v>
      </c>
      <c r="H184">
        <v>138090</v>
      </c>
      <c r="I184">
        <v>-75.624039999999994</v>
      </c>
      <c r="J184">
        <v>4.9219299999999997</v>
      </c>
      <c r="K184" t="s">
        <v>23</v>
      </c>
      <c r="L184" s="1">
        <v>44614</v>
      </c>
      <c r="M184" s="2" t="s">
        <v>220</v>
      </c>
      <c r="N184" t="s">
        <v>20</v>
      </c>
      <c r="O184" t="s">
        <v>21</v>
      </c>
      <c r="P184" t="s">
        <v>28</v>
      </c>
    </row>
    <row r="185" spans="1:16" x14ac:dyDescent="0.25">
      <c r="A185" t="s">
        <v>16</v>
      </c>
      <c r="B185" t="s">
        <v>17</v>
      </c>
      <c r="C185" t="s">
        <v>18</v>
      </c>
      <c r="D185" s="1">
        <v>44614</v>
      </c>
      <c r="E185" s="2" t="s">
        <v>220</v>
      </c>
      <c r="F185" s="3" t="str">
        <f t="shared" si="2"/>
        <v>Vía Manizales - Pereira, , Guacas, Santa Rosa de Cabal, Risaralda</v>
      </c>
      <c r="G185">
        <v>31</v>
      </c>
      <c r="H185">
        <v>138090</v>
      </c>
      <c r="I185">
        <v>-75.624039999999994</v>
      </c>
      <c r="J185">
        <v>4.9219299999999997</v>
      </c>
      <c r="K185" t="s">
        <v>23</v>
      </c>
      <c r="L185" s="1">
        <v>44614</v>
      </c>
      <c r="M185" s="2" t="s">
        <v>221</v>
      </c>
      <c r="N185" t="s">
        <v>20</v>
      </c>
      <c r="O185" t="s">
        <v>21</v>
      </c>
      <c r="P185" t="s">
        <v>28</v>
      </c>
    </row>
    <row r="186" spans="1:16" x14ac:dyDescent="0.25">
      <c r="A186" t="s">
        <v>16</v>
      </c>
      <c r="B186" t="s">
        <v>17</v>
      </c>
      <c r="C186" t="s">
        <v>18</v>
      </c>
      <c r="D186" s="1">
        <v>44614</v>
      </c>
      <c r="E186" s="2" t="s">
        <v>221</v>
      </c>
      <c r="F186" s="3" t="str">
        <f>HYPERLINK("https://maps.google.com/maps?q=4.95108,-75.61512&amp;ll=4.95108,-75.61512&amp;z=14.75z","Vía Chinchiná - Sta Rosa de Cabal, Km 2.81, , Guayabal, Chinchiná, Caldas")</f>
        <v>Vía Chinchiná - Sta Rosa de Cabal, Km 2.81, , Guayabal, Chinchiná, Caldas</v>
      </c>
      <c r="G186">
        <v>37</v>
      </c>
      <c r="H186">
        <v>138093</v>
      </c>
      <c r="I186">
        <v>-75.615120000000005</v>
      </c>
      <c r="J186">
        <v>4.9510800000000001</v>
      </c>
      <c r="K186" t="s">
        <v>41</v>
      </c>
      <c r="L186" s="1">
        <v>44614</v>
      </c>
      <c r="M186" s="2" t="s">
        <v>221</v>
      </c>
      <c r="N186" t="s">
        <v>20</v>
      </c>
      <c r="O186" t="s">
        <v>21</v>
      </c>
      <c r="P186" t="s">
        <v>22</v>
      </c>
    </row>
    <row r="187" spans="1:16" x14ac:dyDescent="0.25">
      <c r="A187" t="s">
        <v>16</v>
      </c>
      <c r="B187" t="s">
        <v>17</v>
      </c>
      <c r="C187" t="s">
        <v>18</v>
      </c>
      <c r="D187" s="1">
        <v>44614</v>
      </c>
      <c r="E187" s="2" t="s">
        <v>222</v>
      </c>
      <c r="F187" s="3" t="str">
        <f>HYPERLINK("https://maps.google.com/maps?q=4.95296,-75.61361&amp;ll=4.95296,-75.61361&amp;z=14.75z","Vía Chinchiná - Sta Rosa de Cabal, Km 2.36, , Guayabal, Chinchiná, Caldas")</f>
        <v>Vía Chinchiná - Sta Rosa de Cabal, Km 2.36, , Guayabal, Chinchiná, Caldas</v>
      </c>
      <c r="G187">
        <v>25</v>
      </c>
      <c r="H187">
        <v>138094</v>
      </c>
      <c r="I187">
        <v>-75.613609999999994</v>
      </c>
      <c r="J187">
        <v>4.95296</v>
      </c>
      <c r="K187" t="s">
        <v>19</v>
      </c>
      <c r="L187" s="1">
        <v>44614</v>
      </c>
      <c r="M187" s="2" t="s">
        <v>222</v>
      </c>
      <c r="N187" t="s">
        <v>20</v>
      </c>
      <c r="O187" t="s">
        <v>21</v>
      </c>
      <c r="P187" t="s">
        <v>22</v>
      </c>
    </row>
    <row r="188" spans="1:16" x14ac:dyDescent="0.25">
      <c r="A188" t="s">
        <v>16</v>
      </c>
      <c r="B188" t="s">
        <v>17</v>
      </c>
      <c r="C188" t="s">
        <v>18</v>
      </c>
      <c r="D188" s="1">
        <v>44614</v>
      </c>
      <c r="E188" s="2" t="s">
        <v>223</v>
      </c>
      <c r="F188" s="3" t="str">
        <f>HYPERLINK("https://maps.google.com/maps?q=4.95597,-75.61403&amp;ll=4.95597,-75.61403&amp;z=14.75z","Vía Chinchiná - Sta Rosa de Cabal, Km 2.02, , Guayabal, Chinchiná, Caldas")</f>
        <v>Vía Chinchiná - Sta Rosa de Cabal, Km 2.02, , Guayabal, Chinchiná, Caldas</v>
      </c>
      <c r="G188">
        <v>44</v>
      </c>
      <c r="H188">
        <v>138094</v>
      </c>
      <c r="I188">
        <v>-75.61403</v>
      </c>
      <c r="J188">
        <v>4.9559699999999998</v>
      </c>
      <c r="K188" t="s">
        <v>23</v>
      </c>
      <c r="L188" s="1">
        <v>44614</v>
      </c>
      <c r="M188" s="2" t="s">
        <v>224</v>
      </c>
      <c r="N188" t="s">
        <v>20</v>
      </c>
      <c r="O188" t="s">
        <v>21</v>
      </c>
      <c r="P188" t="s">
        <v>22</v>
      </c>
    </row>
    <row r="189" spans="1:16" x14ac:dyDescent="0.25">
      <c r="A189" t="s">
        <v>16</v>
      </c>
      <c r="B189" t="s">
        <v>17</v>
      </c>
      <c r="C189" t="s">
        <v>18</v>
      </c>
      <c r="D189" s="1">
        <v>44614</v>
      </c>
      <c r="E189" s="2" t="s">
        <v>224</v>
      </c>
      <c r="F189" s="3" t="str">
        <f>HYPERLINK("https://maps.google.com/maps?q=4.95884,-75.61489&amp;ll=4.95884,-75.61489&amp;z=14.75z","Vía Rural Guayabal, , Guayabal, Chinchiná, Caldas")</f>
        <v>Vía Rural Guayabal, , Guayabal, Chinchiná, Caldas</v>
      </c>
      <c r="G189">
        <v>22</v>
      </c>
      <c r="H189">
        <v>138094</v>
      </c>
      <c r="I189">
        <v>-75.614890000000003</v>
      </c>
      <c r="J189">
        <v>4.9588400000000004</v>
      </c>
      <c r="K189" t="s">
        <v>30</v>
      </c>
      <c r="L189" s="1">
        <v>44614</v>
      </c>
      <c r="M189" s="2" t="s">
        <v>224</v>
      </c>
      <c r="N189" t="s">
        <v>20</v>
      </c>
      <c r="O189" t="s">
        <v>21</v>
      </c>
      <c r="P189" t="s">
        <v>22</v>
      </c>
    </row>
    <row r="190" spans="1:16" x14ac:dyDescent="0.25">
      <c r="A190" t="s">
        <v>16</v>
      </c>
      <c r="B190" t="s">
        <v>17</v>
      </c>
      <c r="C190" t="s">
        <v>18</v>
      </c>
      <c r="D190" s="1">
        <v>44614</v>
      </c>
      <c r="E190" s="2" t="s">
        <v>225</v>
      </c>
      <c r="F190" s="3" t="str">
        <f>HYPERLINK("https://maps.google.com/maps?q=4.96303,-75.61838&amp;ll=4.96303,-75.61838&amp;z=14.75z","Vía Pereira - Manizales, Km 22.92 Manizales - Santa Rosa de Cabal, , Guayabal, Chinchiná, Caldas")</f>
        <v>Vía Pereira - Manizales, Km 22.92 Manizales - Santa Rosa de Cabal, , Guayabal, Chinchiná, Caldas</v>
      </c>
      <c r="G190">
        <v>36</v>
      </c>
      <c r="H190">
        <v>138095</v>
      </c>
      <c r="I190">
        <v>-75.618380000000002</v>
      </c>
      <c r="J190">
        <v>4.9630299999999998</v>
      </c>
      <c r="K190" t="s">
        <v>19</v>
      </c>
      <c r="L190" s="1">
        <v>44614</v>
      </c>
      <c r="M190" s="2" t="s">
        <v>226</v>
      </c>
      <c r="N190" t="s">
        <v>20</v>
      </c>
      <c r="O190" t="s">
        <v>21</v>
      </c>
      <c r="P190" t="s">
        <v>22</v>
      </c>
    </row>
    <row r="191" spans="1:16" x14ac:dyDescent="0.25">
      <c r="A191" t="s">
        <v>16</v>
      </c>
      <c r="B191" t="s">
        <v>17</v>
      </c>
      <c r="C191" t="s">
        <v>18</v>
      </c>
      <c r="D191" s="1">
        <v>44614</v>
      </c>
      <c r="E191" s="2" t="s">
        <v>226</v>
      </c>
      <c r="F191" s="3" t="str">
        <f>HYPERLINK("https://maps.google.com/maps?q=4.96859,-75.6201&amp;ll=4.96859,-75.6201&amp;z=14.75z","Vía Pereira - Manizales, Km 22.25 Manizales - Santa Rosa de Cabal, , La Paz, Chinchiná, Caldas")</f>
        <v>Vía Pereira - Manizales, Km 22.25 Manizales - Santa Rosa de Cabal, , La Paz, Chinchiná, Caldas</v>
      </c>
      <c r="G191">
        <v>50</v>
      </c>
      <c r="H191">
        <v>138096</v>
      </c>
      <c r="I191">
        <v>-75.620099999999994</v>
      </c>
      <c r="J191">
        <v>4.9685899999999998</v>
      </c>
      <c r="K191" t="s">
        <v>23</v>
      </c>
      <c r="L191" s="1">
        <v>44614</v>
      </c>
      <c r="M191" s="2" t="s">
        <v>227</v>
      </c>
      <c r="N191" t="s">
        <v>20</v>
      </c>
      <c r="O191" t="s">
        <v>21</v>
      </c>
      <c r="P191" t="s">
        <v>22</v>
      </c>
    </row>
    <row r="192" spans="1:16" x14ac:dyDescent="0.25">
      <c r="A192" t="s">
        <v>16</v>
      </c>
      <c r="B192" t="s">
        <v>17</v>
      </c>
      <c r="C192" t="s">
        <v>18</v>
      </c>
      <c r="D192" s="1">
        <v>44614</v>
      </c>
      <c r="E192" s="2" t="s">
        <v>227</v>
      </c>
      <c r="F192" s="3" t="str">
        <f>HYPERLINK("https://maps.google.com/maps?q=4.97533,-75.61882&amp;ll=4.97533,-75.61882&amp;z=14.75z","Vía Pereira - Manizales, Km 21.46 Manizales - Santa Rosa de Cabal, , La Paz, Chinchiná, Caldas")</f>
        <v>Vía Pereira - Manizales, Km 21.46 Manizales - Santa Rosa de Cabal, , La Paz, Chinchiná, Caldas</v>
      </c>
      <c r="G192">
        <v>46</v>
      </c>
      <c r="H192">
        <v>138096</v>
      </c>
      <c r="I192">
        <v>-75.618819999999999</v>
      </c>
      <c r="J192">
        <v>4.9753299999999996</v>
      </c>
      <c r="K192" t="s">
        <v>24</v>
      </c>
      <c r="L192" s="1">
        <v>44614</v>
      </c>
      <c r="M192" s="2" t="s">
        <v>228</v>
      </c>
      <c r="N192" t="s">
        <v>20</v>
      </c>
      <c r="O192" t="s">
        <v>21</v>
      </c>
      <c r="P192" t="s">
        <v>22</v>
      </c>
    </row>
    <row r="193" spans="1:16" x14ac:dyDescent="0.25">
      <c r="A193" t="s">
        <v>16</v>
      </c>
      <c r="B193" t="s">
        <v>17</v>
      </c>
      <c r="C193" t="s">
        <v>18</v>
      </c>
      <c r="D193" s="1">
        <v>44614</v>
      </c>
      <c r="E193" s="2" t="s">
        <v>228</v>
      </c>
      <c r="F193" s="3" t="str">
        <f>HYPERLINK("https://maps.google.com/maps?q=4.98121,-75.61808&amp;ll=4.98121,-75.61808&amp;z=14.75z","Vía Pereira - Manizales, Km 20.81 Manizales - Santa Rosa de Cabal, , La Paz, Chinchiná, Caldas")</f>
        <v>Vía Pereira - Manizales, Km 20.81 Manizales - Santa Rosa de Cabal, , La Paz, Chinchiná, Caldas</v>
      </c>
      <c r="G193">
        <v>43</v>
      </c>
      <c r="H193">
        <v>138097</v>
      </c>
      <c r="I193">
        <v>-75.618080000000006</v>
      </c>
      <c r="J193">
        <v>4.9812099999999999</v>
      </c>
      <c r="K193" t="s">
        <v>23</v>
      </c>
      <c r="L193" s="1">
        <v>44614</v>
      </c>
      <c r="M193" s="2" t="s">
        <v>228</v>
      </c>
      <c r="N193" t="s">
        <v>20</v>
      </c>
      <c r="O193" t="s">
        <v>21</v>
      </c>
      <c r="P193" t="s">
        <v>22</v>
      </c>
    </row>
    <row r="194" spans="1:16" x14ac:dyDescent="0.25">
      <c r="A194" t="s">
        <v>16</v>
      </c>
      <c r="B194" t="s">
        <v>17</v>
      </c>
      <c r="C194" t="s">
        <v>18</v>
      </c>
      <c r="D194" s="1">
        <v>44614</v>
      </c>
      <c r="E194" s="2" t="s">
        <v>229</v>
      </c>
      <c r="F194" s="3" t="str">
        <f>HYPERLINK("https://maps.google.com/maps?q=4.98667,-75.61776&amp;ll=4.98667,-75.61776&amp;z=14.75z","Vía Pereira - Manizales, Km 20.16 Manizales - Santa Rosa de Cabal, , La Paz, Chinchiná, Caldas")</f>
        <v>Vía Pereira - Manizales, Km 20.16 Manizales - Santa Rosa de Cabal, , La Paz, Chinchiná, Caldas</v>
      </c>
      <c r="G194">
        <v>44</v>
      </c>
      <c r="H194">
        <v>138098</v>
      </c>
      <c r="I194">
        <v>-75.617760000000004</v>
      </c>
      <c r="J194">
        <v>4.9866700000000002</v>
      </c>
      <c r="K194" t="s">
        <v>24</v>
      </c>
      <c r="L194" s="1">
        <v>44614</v>
      </c>
      <c r="M194" s="2" t="s">
        <v>229</v>
      </c>
      <c r="N194" t="s">
        <v>20</v>
      </c>
      <c r="O194" t="s">
        <v>21</v>
      </c>
      <c r="P194" t="s">
        <v>22</v>
      </c>
    </row>
    <row r="195" spans="1:16" x14ac:dyDescent="0.25">
      <c r="A195" t="s">
        <v>16</v>
      </c>
      <c r="B195" t="s">
        <v>17</v>
      </c>
      <c r="C195" t="s">
        <v>18</v>
      </c>
      <c r="D195" s="1">
        <v>44614</v>
      </c>
      <c r="E195" s="2" t="s">
        <v>230</v>
      </c>
      <c r="F195" s="3" t="str">
        <f>HYPERLINK("https://maps.google.com/maps?q=4.99261,-75.61413&amp;ll=4.99261,-75.61413&amp;z=14.75z","Vía Pereira - Manizales, Km 19.39 Manizales - Santa Rosa de Cabal, , , Chinchiná, Caldas")</f>
        <v>Vía Pereira - Manizales, Km 19.39 Manizales - Santa Rosa de Cabal, , , Chinchiná, Caldas</v>
      </c>
      <c r="G195">
        <v>48</v>
      </c>
      <c r="H195">
        <v>138098</v>
      </c>
      <c r="I195">
        <v>-75.614130000000003</v>
      </c>
      <c r="J195">
        <v>4.99261</v>
      </c>
      <c r="K195" t="s">
        <v>23</v>
      </c>
      <c r="L195" s="1">
        <v>44614</v>
      </c>
      <c r="M195" s="2" t="s">
        <v>230</v>
      </c>
      <c r="N195" t="s">
        <v>20</v>
      </c>
      <c r="O195" t="s">
        <v>21</v>
      </c>
      <c r="P195" t="s">
        <v>22</v>
      </c>
    </row>
    <row r="196" spans="1:16" x14ac:dyDescent="0.25">
      <c r="A196" t="s">
        <v>16</v>
      </c>
      <c r="B196" t="s">
        <v>17</v>
      </c>
      <c r="C196" t="s">
        <v>18</v>
      </c>
      <c r="D196" s="1">
        <v>44614</v>
      </c>
      <c r="E196" s="2" t="s">
        <v>231</v>
      </c>
      <c r="F196" s="3" t="str">
        <f>HYPERLINK("https://maps.google.com/maps?q=4.99603,-75.60961&amp;ll=4.99603,-75.60961&amp;z=14.75z","Vía Pereira - Manizales, Km 18.72 Manizales - Santa Rosa de Cabal, , El Eden, Chinchiná, Caldas")</f>
        <v>Vía Pereira - Manizales, Km 18.72 Manizales - Santa Rosa de Cabal, , El Eden, Chinchiná, Caldas</v>
      </c>
      <c r="G196">
        <v>41</v>
      </c>
      <c r="H196">
        <v>138099</v>
      </c>
      <c r="I196">
        <v>-75.609610000000004</v>
      </c>
      <c r="J196">
        <v>4.9960300000000002</v>
      </c>
      <c r="K196" t="s">
        <v>41</v>
      </c>
      <c r="L196" s="1">
        <v>44614</v>
      </c>
      <c r="M196" s="2" t="s">
        <v>232</v>
      </c>
      <c r="N196" t="s">
        <v>20</v>
      </c>
      <c r="O196" t="s">
        <v>21</v>
      </c>
      <c r="P196" t="s">
        <v>22</v>
      </c>
    </row>
    <row r="197" spans="1:16" x14ac:dyDescent="0.25">
      <c r="A197" t="s">
        <v>16</v>
      </c>
      <c r="B197" t="s">
        <v>17</v>
      </c>
      <c r="C197" t="s">
        <v>27</v>
      </c>
      <c r="D197" s="1">
        <v>44614</v>
      </c>
      <c r="E197" s="2" t="s">
        <v>232</v>
      </c>
      <c r="F197" s="3" t="str">
        <f>HYPERLINK("https://maps.google.com/maps?q=4.99693,-75.60505&amp;ll=4.99693,-75.60505&amp;z=14.75z","Vía Pereira - Manizales, , El Eden, Chinchiná, Caldas")</f>
        <v>Vía Pereira - Manizales, , El Eden, Chinchiná, Caldas</v>
      </c>
      <c r="G197">
        <v>27</v>
      </c>
      <c r="H197">
        <v>138100</v>
      </c>
      <c r="I197">
        <v>-75.605050000000006</v>
      </c>
      <c r="J197">
        <v>4.9969299999999999</v>
      </c>
      <c r="K197" t="s">
        <v>24</v>
      </c>
      <c r="L197" s="1">
        <v>44614</v>
      </c>
      <c r="M197" s="2" t="s">
        <v>232</v>
      </c>
      <c r="N197" t="s">
        <v>20</v>
      </c>
      <c r="O197" t="s">
        <v>21</v>
      </c>
      <c r="P197" t="s">
        <v>22</v>
      </c>
    </row>
    <row r="198" spans="1:16" x14ac:dyDescent="0.25">
      <c r="A198" t="s">
        <v>16</v>
      </c>
      <c r="B198" t="s">
        <v>17</v>
      </c>
      <c r="C198" t="s">
        <v>18</v>
      </c>
      <c r="D198" s="1">
        <v>44614</v>
      </c>
      <c r="E198" s="2" t="s">
        <v>232</v>
      </c>
      <c r="F198" s="3" t="str">
        <f>HYPERLINK("https://maps.google.com/maps?q=4.9971,-75.60469&amp;ll=4.9971,-75.60469&amp;z=14.75z","Vía Pereira - Manizales, , El Eden, Chinchiná, Caldas")</f>
        <v>Vía Pereira - Manizales, , El Eden, Chinchiná, Caldas</v>
      </c>
      <c r="G198">
        <v>27</v>
      </c>
      <c r="H198">
        <v>138100</v>
      </c>
      <c r="I198">
        <v>-75.604690000000005</v>
      </c>
      <c r="J198">
        <v>4.9970999999999997</v>
      </c>
      <c r="K198" t="s">
        <v>24</v>
      </c>
      <c r="L198" s="1">
        <v>44614</v>
      </c>
      <c r="M198" s="2" t="s">
        <v>232</v>
      </c>
      <c r="N198" t="s">
        <v>20</v>
      </c>
      <c r="O198" t="s">
        <v>21</v>
      </c>
      <c r="P198" t="s">
        <v>22</v>
      </c>
    </row>
    <row r="199" spans="1:16" x14ac:dyDescent="0.25">
      <c r="A199" t="s">
        <v>16</v>
      </c>
      <c r="B199" t="s">
        <v>17</v>
      </c>
      <c r="C199" t="s">
        <v>18</v>
      </c>
      <c r="D199" s="1">
        <v>44614</v>
      </c>
      <c r="E199" s="2" t="s">
        <v>232</v>
      </c>
      <c r="F199" s="3" t="str">
        <f>HYPERLINK("https://maps.google.com/maps?q=4.9971,-75.60469&amp;ll=4.9971,-75.60469&amp;z=14.75z","Vía Pereira - Manizales, , El Eden, Chinchiná, Caldas")</f>
        <v>Vía Pereira - Manizales, , El Eden, Chinchiná, Caldas</v>
      </c>
      <c r="G199">
        <v>27</v>
      </c>
      <c r="H199">
        <v>138100</v>
      </c>
      <c r="I199">
        <v>-75.604690000000005</v>
      </c>
      <c r="J199">
        <v>4.9970999999999997</v>
      </c>
      <c r="K199" t="s">
        <v>24</v>
      </c>
      <c r="L199" s="1">
        <v>44614</v>
      </c>
      <c r="M199" s="2" t="s">
        <v>232</v>
      </c>
      <c r="N199" t="s">
        <v>20</v>
      </c>
      <c r="O199" t="s">
        <v>21</v>
      </c>
      <c r="P199" t="s">
        <v>22</v>
      </c>
    </row>
    <row r="200" spans="1:16" x14ac:dyDescent="0.25">
      <c r="A200" t="s">
        <v>16</v>
      </c>
      <c r="B200" t="s">
        <v>17</v>
      </c>
      <c r="C200" t="s">
        <v>18</v>
      </c>
      <c r="D200" s="1">
        <v>44614</v>
      </c>
      <c r="E200" s="2" t="s">
        <v>233</v>
      </c>
      <c r="F200" s="3" t="str">
        <f>HYPERLINK("https://maps.google.com/maps?q=4.99644,-75.60144&amp;ll=4.99644,-75.60144&amp;z=14.75z","Vía Pereira - Manizales, , El Eden, Chinchiná, Caldas")</f>
        <v>Vía Pereira - Manizales, , El Eden, Chinchiná, Caldas</v>
      </c>
      <c r="G200">
        <v>22</v>
      </c>
      <c r="H200">
        <v>138100</v>
      </c>
      <c r="I200">
        <v>-75.601439999999997</v>
      </c>
      <c r="J200">
        <v>4.9964399999999998</v>
      </c>
      <c r="K200" t="s">
        <v>33</v>
      </c>
      <c r="L200" s="1">
        <v>44614</v>
      </c>
      <c r="M200" s="2" t="s">
        <v>233</v>
      </c>
      <c r="N200" t="s">
        <v>20</v>
      </c>
      <c r="O200" t="s">
        <v>21</v>
      </c>
      <c r="P200" t="s">
        <v>22</v>
      </c>
    </row>
    <row r="201" spans="1:16" x14ac:dyDescent="0.25">
      <c r="A201" t="s">
        <v>16</v>
      </c>
      <c r="B201" t="s">
        <v>17</v>
      </c>
      <c r="C201" t="s">
        <v>18</v>
      </c>
      <c r="D201" s="1">
        <v>44614</v>
      </c>
      <c r="E201" s="2" t="s">
        <v>234</v>
      </c>
      <c r="F201" s="3" t="str">
        <f>HYPERLINK("https://maps.google.com/maps?q=4.99726,-75.59798&amp;ll=4.99726,-75.59798&amp;z=14.75z","Vía Pereira - Manizales, , , Chinchiná, Caldas")</f>
        <v>Vía Pereira - Manizales, , , Chinchiná, Caldas</v>
      </c>
      <c r="G201">
        <v>42</v>
      </c>
      <c r="H201">
        <v>138101</v>
      </c>
      <c r="I201">
        <v>-75.597980000000007</v>
      </c>
      <c r="J201">
        <v>4.9972599999999998</v>
      </c>
      <c r="K201" t="s">
        <v>23</v>
      </c>
      <c r="L201" s="1">
        <v>44614</v>
      </c>
      <c r="M201" s="2" t="s">
        <v>234</v>
      </c>
      <c r="N201" t="s">
        <v>20</v>
      </c>
      <c r="O201" t="s">
        <v>21</v>
      </c>
      <c r="P201" t="s">
        <v>22</v>
      </c>
    </row>
    <row r="202" spans="1:16" x14ac:dyDescent="0.25">
      <c r="A202" t="s">
        <v>16</v>
      </c>
      <c r="B202" t="s">
        <v>17</v>
      </c>
      <c r="C202" t="s">
        <v>18</v>
      </c>
      <c r="D202" s="1">
        <v>44614</v>
      </c>
      <c r="E202" s="2" t="s">
        <v>234</v>
      </c>
      <c r="F202" s="3" t="str">
        <f>HYPERLINK("https://maps.google.com/maps?q=5.00204,-75.59585&amp;ll=5.00204,-75.59585&amp;z=14.75z","Vía Pereira - Manizales, , Las Pavas, Manizales, Caldas")</f>
        <v>Vía Pereira - Manizales, , Las Pavas, Manizales, Caldas</v>
      </c>
      <c r="G202">
        <v>28</v>
      </c>
      <c r="H202">
        <v>138101</v>
      </c>
      <c r="I202">
        <v>-75.595849999999999</v>
      </c>
      <c r="J202">
        <v>5.00204</v>
      </c>
      <c r="K202" t="s">
        <v>23</v>
      </c>
      <c r="L202" s="1">
        <v>44614</v>
      </c>
      <c r="M202" s="2" t="s">
        <v>235</v>
      </c>
      <c r="N202" t="s">
        <v>20</v>
      </c>
      <c r="O202" t="s">
        <v>21</v>
      </c>
      <c r="P202" t="s">
        <v>22</v>
      </c>
    </row>
    <row r="203" spans="1:16" x14ac:dyDescent="0.25">
      <c r="A203" t="s">
        <v>16</v>
      </c>
      <c r="B203" t="s">
        <v>17</v>
      </c>
      <c r="C203" t="s">
        <v>18</v>
      </c>
      <c r="D203" s="1">
        <v>44614</v>
      </c>
      <c r="E203" s="2" t="s">
        <v>235</v>
      </c>
      <c r="F203" s="3" t="str">
        <f>HYPERLINK("https://maps.google.com/maps?q=5.00761,-75.59502&amp;ll=5.00761,-75.59502&amp;z=14.75z","Vía Rural Las Pavas, , Las Pavas, Manizales, Caldas")</f>
        <v>Vía Rural Las Pavas, , Las Pavas, Manizales, Caldas</v>
      </c>
      <c r="G203">
        <v>48</v>
      </c>
      <c r="H203">
        <v>138102</v>
      </c>
      <c r="I203">
        <v>-75.595020000000005</v>
      </c>
      <c r="J203">
        <v>5.0076099999999997</v>
      </c>
      <c r="K203" t="s">
        <v>23</v>
      </c>
      <c r="L203" s="1">
        <v>44614</v>
      </c>
      <c r="M203" s="2" t="s">
        <v>235</v>
      </c>
      <c r="N203" t="s">
        <v>20</v>
      </c>
      <c r="O203" t="s">
        <v>21</v>
      </c>
      <c r="P203" t="s">
        <v>22</v>
      </c>
    </row>
    <row r="204" spans="1:16" x14ac:dyDescent="0.25">
      <c r="A204" t="s">
        <v>16</v>
      </c>
      <c r="B204" t="s">
        <v>17</v>
      </c>
      <c r="C204" t="s">
        <v>18</v>
      </c>
      <c r="D204" s="1">
        <v>44614</v>
      </c>
      <c r="E204" s="2" t="s">
        <v>236</v>
      </c>
      <c r="F204" s="3" t="str">
        <f>HYPERLINK("https://maps.google.com/maps?q=5.01461,-75.59334&amp;ll=5.01461,-75.59334&amp;z=14.75z","Vía Rural Las Pavas, , Las Pavas, Manizales, Caldas")</f>
        <v>Vía Rural Las Pavas, , Las Pavas, Manizales, Caldas</v>
      </c>
      <c r="G204">
        <v>46</v>
      </c>
      <c r="H204">
        <v>138103</v>
      </c>
      <c r="I204">
        <v>-75.593339999999998</v>
      </c>
      <c r="J204">
        <v>5.0146100000000002</v>
      </c>
      <c r="K204" t="s">
        <v>24</v>
      </c>
      <c r="L204" s="1">
        <v>44614</v>
      </c>
      <c r="M204" s="2" t="s">
        <v>236</v>
      </c>
      <c r="N204" t="s">
        <v>20</v>
      </c>
      <c r="O204" t="s">
        <v>21</v>
      </c>
      <c r="P204" t="s">
        <v>22</v>
      </c>
    </row>
    <row r="205" spans="1:16" x14ac:dyDescent="0.25">
      <c r="A205" t="s">
        <v>16</v>
      </c>
      <c r="B205" t="s">
        <v>17</v>
      </c>
      <c r="C205" t="s">
        <v>18</v>
      </c>
      <c r="D205" s="1">
        <v>44614</v>
      </c>
      <c r="E205" s="2" t="s">
        <v>237</v>
      </c>
      <c r="F205" s="3" t="str">
        <f>HYPERLINK("https://maps.google.com/maps?q=5.02016,-75.59214&amp;ll=5.02016,-75.59214&amp;z=14.75z","Vía Pereira - Manizales, , Las Pavas, Manizales, Caldas")</f>
        <v>Vía Pereira - Manizales, , Las Pavas, Manizales, Caldas</v>
      </c>
      <c r="G205">
        <v>44</v>
      </c>
      <c r="H205">
        <v>138103</v>
      </c>
      <c r="I205">
        <v>-75.592140000000001</v>
      </c>
      <c r="J205">
        <v>5.0201599999999997</v>
      </c>
      <c r="K205" t="s">
        <v>24</v>
      </c>
      <c r="L205" s="1">
        <v>44614</v>
      </c>
      <c r="M205" s="2" t="s">
        <v>237</v>
      </c>
      <c r="N205" t="s">
        <v>20</v>
      </c>
      <c r="O205" t="s">
        <v>21</v>
      </c>
      <c r="P205" t="s">
        <v>22</v>
      </c>
    </row>
    <row r="206" spans="1:16" x14ac:dyDescent="0.25">
      <c r="A206" t="s">
        <v>16</v>
      </c>
      <c r="B206" t="s">
        <v>17</v>
      </c>
      <c r="C206" t="s">
        <v>18</v>
      </c>
      <c r="D206" s="1">
        <v>44614</v>
      </c>
      <c r="E206" s="2" t="s">
        <v>238</v>
      </c>
      <c r="F206" s="3" t="str">
        <f>HYPERLINK("https://maps.google.com/maps?q=5.02544,-75.58939&amp;ll=5.02544,-75.58939&amp;z=14.75z","Vía Pereira - Manizales, , Las Pavas, Manizales, Caldas")</f>
        <v>Vía Pereira - Manizales, , Las Pavas, Manizales, Caldas</v>
      </c>
      <c r="G206">
        <v>39</v>
      </c>
      <c r="H206">
        <v>138104</v>
      </c>
      <c r="I206">
        <v>-75.589389999999995</v>
      </c>
      <c r="J206">
        <v>5.0254399999999997</v>
      </c>
      <c r="K206" t="s">
        <v>23</v>
      </c>
      <c r="L206" s="1">
        <v>44614</v>
      </c>
      <c r="M206" s="2" t="s">
        <v>238</v>
      </c>
      <c r="N206" t="s">
        <v>20</v>
      </c>
      <c r="O206" t="s">
        <v>21</v>
      </c>
      <c r="P206" t="s">
        <v>22</v>
      </c>
    </row>
    <row r="207" spans="1:16" x14ac:dyDescent="0.25">
      <c r="A207" t="s">
        <v>16</v>
      </c>
      <c r="B207" t="s">
        <v>17</v>
      </c>
      <c r="C207" t="s">
        <v>18</v>
      </c>
      <c r="D207" s="1">
        <v>44614</v>
      </c>
      <c r="E207" s="2" t="s">
        <v>239</v>
      </c>
      <c r="F207" s="3" t="str">
        <f>HYPERLINK("https://maps.google.com/maps?q=5.02693,-75.58749&amp;ll=5.02693,-75.58749&amp;z=14.75z","Vía Pereira - Manizales, , Las Pavas, Manizales, Caldas")</f>
        <v>Vía Pereira - Manizales, , Las Pavas, Manizales, Caldas</v>
      </c>
      <c r="G207">
        <v>0</v>
      </c>
      <c r="H207">
        <v>138104</v>
      </c>
      <c r="I207">
        <v>-75.587490000000003</v>
      </c>
      <c r="J207">
        <v>5.0269300000000001</v>
      </c>
      <c r="K207" t="s">
        <v>24</v>
      </c>
      <c r="L207" s="1">
        <v>44614</v>
      </c>
      <c r="M207" s="2" t="s">
        <v>239</v>
      </c>
      <c r="N207" t="s">
        <v>20</v>
      </c>
      <c r="O207" t="s">
        <v>21</v>
      </c>
      <c r="P207" t="s">
        <v>22</v>
      </c>
    </row>
    <row r="208" spans="1:16" x14ac:dyDescent="0.25">
      <c r="A208" t="s">
        <v>16</v>
      </c>
      <c r="B208" t="s">
        <v>17</v>
      </c>
      <c r="C208" t="s">
        <v>18</v>
      </c>
      <c r="D208" s="1">
        <v>44614</v>
      </c>
      <c r="E208" s="2" t="s">
        <v>240</v>
      </c>
      <c r="F208" s="3" t="str">
        <f>HYPERLINK("https://maps.google.com/maps?q=5.02763,-75.5866&amp;ll=5.02763,-75.5866&amp;z=14.75z","Vía Pereira - Manizales, , Las Pavas, Manizales, Caldas")</f>
        <v>Vía Pereira - Manizales, , Las Pavas, Manizales, Caldas</v>
      </c>
      <c r="G208">
        <v>30</v>
      </c>
      <c r="H208">
        <v>138104</v>
      </c>
      <c r="I208">
        <v>-75.586600000000004</v>
      </c>
      <c r="J208">
        <v>5.0276300000000003</v>
      </c>
      <c r="K208" t="s">
        <v>24</v>
      </c>
      <c r="L208" s="1">
        <v>44614</v>
      </c>
      <c r="M208" s="2" t="s">
        <v>240</v>
      </c>
      <c r="N208" t="s">
        <v>20</v>
      </c>
      <c r="O208" t="s">
        <v>21</v>
      </c>
      <c r="P208" t="s">
        <v>22</v>
      </c>
    </row>
    <row r="209" spans="1:16" x14ac:dyDescent="0.25">
      <c r="A209" t="s">
        <v>16</v>
      </c>
      <c r="B209" t="s">
        <v>17</v>
      </c>
      <c r="C209" t="s">
        <v>18</v>
      </c>
      <c r="D209" s="1">
        <v>44614</v>
      </c>
      <c r="E209" s="2" t="s">
        <v>241</v>
      </c>
      <c r="F209" s="3" t="str">
        <f>HYPERLINK("https://maps.google.com/maps?q=5.03227,-75.58403&amp;ll=5.03227,-75.58403&amp;z=14.75z","Vía Pereira - Manizales, Km 12.87 Manizales - Santa Rosa de Cabal, , La Trinidad, Manizales, Caldas")</f>
        <v>Vía Pereira - Manizales, Km 12.87 Manizales - Santa Rosa de Cabal, , La Trinidad, Manizales, Caldas</v>
      </c>
      <c r="G209">
        <v>43</v>
      </c>
      <c r="H209">
        <v>138105</v>
      </c>
      <c r="I209">
        <v>-75.584029999999998</v>
      </c>
      <c r="J209">
        <v>5.0322699999999996</v>
      </c>
      <c r="K209" t="s">
        <v>24</v>
      </c>
      <c r="L209" s="1">
        <v>44614</v>
      </c>
      <c r="M209" s="2" t="s">
        <v>241</v>
      </c>
      <c r="N209" t="s">
        <v>20</v>
      </c>
      <c r="O209" t="s">
        <v>21</v>
      </c>
      <c r="P209" t="s">
        <v>22</v>
      </c>
    </row>
    <row r="210" spans="1:16" x14ac:dyDescent="0.25">
      <c r="A210" t="s">
        <v>16</v>
      </c>
      <c r="B210" t="s">
        <v>17</v>
      </c>
      <c r="C210" t="s">
        <v>18</v>
      </c>
      <c r="D210" s="1">
        <v>44614</v>
      </c>
      <c r="E210" s="2" t="s">
        <v>242</v>
      </c>
      <c r="F210" s="3" t="str">
        <f>HYPERLINK("https://maps.google.com/maps?q=5.03603,-75.58218&amp;ll=5.03603,-75.58218&amp;z=14.75z","Vía Pereira - Manizales, , La Trinidad, Manizales, Caldas")</f>
        <v>Vía Pereira - Manizales, , La Trinidad, Manizales, Caldas</v>
      </c>
      <c r="G210">
        <v>22</v>
      </c>
      <c r="H210">
        <v>138105</v>
      </c>
      <c r="I210">
        <v>-75.582179999999994</v>
      </c>
      <c r="J210">
        <v>5.0360300000000002</v>
      </c>
      <c r="K210" t="s">
        <v>23</v>
      </c>
      <c r="L210" s="1">
        <v>44614</v>
      </c>
      <c r="M210" s="2" t="s">
        <v>242</v>
      </c>
      <c r="N210" t="s">
        <v>20</v>
      </c>
      <c r="O210" t="s">
        <v>21</v>
      </c>
      <c r="P210" t="s">
        <v>22</v>
      </c>
    </row>
    <row r="211" spans="1:16" x14ac:dyDescent="0.25">
      <c r="A211" t="s">
        <v>16</v>
      </c>
      <c r="B211" t="s">
        <v>17</v>
      </c>
      <c r="C211" t="s">
        <v>18</v>
      </c>
      <c r="D211" s="1">
        <v>44614</v>
      </c>
      <c r="E211" s="2" t="s">
        <v>243</v>
      </c>
      <c r="F211" s="3" t="str">
        <f>HYPERLINK("https://maps.google.com/maps?q=5.03894,-75.58142&amp;ll=5.03894,-75.58142&amp;z=14.75z","Vía Pereira - Manizales, , La Trinidad, Manizales, Caldas")</f>
        <v>Vía Pereira - Manizales, , La Trinidad, Manizales, Caldas</v>
      </c>
      <c r="G211">
        <v>22</v>
      </c>
      <c r="H211">
        <v>138106</v>
      </c>
      <c r="I211">
        <v>-75.581419999999994</v>
      </c>
      <c r="J211">
        <v>5.0389400000000002</v>
      </c>
      <c r="K211" t="s">
        <v>24</v>
      </c>
      <c r="L211" s="1">
        <v>44614</v>
      </c>
      <c r="M211" s="2" t="s">
        <v>243</v>
      </c>
      <c r="N211" t="s">
        <v>20</v>
      </c>
      <c r="O211" t="s">
        <v>21</v>
      </c>
      <c r="P211" t="s">
        <v>22</v>
      </c>
    </row>
    <row r="212" spans="1:16" x14ac:dyDescent="0.25">
      <c r="A212" t="s">
        <v>16</v>
      </c>
      <c r="B212" t="s">
        <v>17</v>
      </c>
      <c r="C212" t="s">
        <v>18</v>
      </c>
      <c r="D212" s="1">
        <v>44614</v>
      </c>
      <c r="E212" s="2" t="s">
        <v>244</v>
      </c>
      <c r="F212" s="3" t="str">
        <f>HYPERLINK("https://maps.google.com/maps?q=5.04127,-75.57963&amp;ll=5.04127,-75.57963&amp;z=14.75z","Vía Pereira - Manizales, , La Trinidad, Manizales, Caldas")</f>
        <v>Vía Pereira - Manizales, , La Trinidad, Manizales, Caldas</v>
      </c>
      <c r="G212">
        <v>16</v>
      </c>
      <c r="H212">
        <v>138106</v>
      </c>
      <c r="I212">
        <v>-75.579629999999995</v>
      </c>
      <c r="J212">
        <v>5.0412699999999999</v>
      </c>
      <c r="K212" t="s">
        <v>23</v>
      </c>
      <c r="L212" s="1">
        <v>44614</v>
      </c>
      <c r="M212" s="2" t="s">
        <v>244</v>
      </c>
      <c r="N212" t="s">
        <v>20</v>
      </c>
      <c r="O212" t="s">
        <v>21</v>
      </c>
      <c r="P212" t="s">
        <v>22</v>
      </c>
    </row>
    <row r="213" spans="1:16" x14ac:dyDescent="0.25">
      <c r="A213" t="s">
        <v>16</v>
      </c>
      <c r="B213" t="s">
        <v>17</v>
      </c>
      <c r="C213" t="s">
        <v>18</v>
      </c>
      <c r="D213" s="1">
        <v>44614</v>
      </c>
      <c r="E213" s="2" t="s">
        <v>248</v>
      </c>
      <c r="F213" s="3" t="str">
        <f>HYPERLINK("https://maps.google.com/maps?q=5.04471,-75.57834&amp;ll=5.04471,-75.57834&amp;z=14.75z","Vía Manizales - Medellín, Km 38 Irra - Manizales, , San Peregrino, Manizales, Caldas")</f>
        <v>Vía Manizales - Medellín, Km 38 Irra - Manizales, , San Peregrino, Manizales, Caldas</v>
      </c>
      <c r="G213">
        <v>30</v>
      </c>
      <c r="H213">
        <v>138106</v>
      </c>
      <c r="I213">
        <v>-75.578339999999997</v>
      </c>
      <c r="J213">
        <v>5.0447100000000002</v>
      </c>
      <c r="K213" t="s">
        <v>23</v>
      </c>
      <c r="L213" s="1">
        <v>44614</v>
      </c>
      <c r="M213" s="2" t="s">
        <v>248</v>
      </c>
      <c r="N213" t="s">
        <v>20</v>
      </c>
      <c r="O213" t="s">
        <v>21</v>
      </c>
      <c r="P213" t="s">
        <v>22</v>
      </c>
    </row>
    <row r="214" spans="1:16" x14ac:dyDescent="0.25">
      <c r="A214" t="s">
        <v>16</v>
      </c>
      <c r="B214" t="s">
        <v>17</v>
      </c>
      <c r="C214" t="s">
        <v>18</v>
      </c>
      <c r="D214" s="1">
        <v>44614</v>
      </c>
      <c r="E214" s="2" t="s">
        <v>249</v>
      </c>
      <c r="F214" s="3" t="str">
        <f>HYPERLINK("https://maps.google.com/maps?q=5.04617,-75.57551&amp;ll=5.04617,-75.57551&amp;z=14.75z","Vía Manizales - Medellín, Km 38.46 Irra - Manizales, , La Trinidad, Manizales, Caldas")</f>
        <v>Vía Manizales - Medellín, Km 38.46 Irra - Manizales, , La Trinidad, Manizales, Caldas</v>
      </c>
      <c r="G214">
        <v>29</v>
      </c>
      <c r="H214">
        <v>138107</v>
      </c>
      <c r="I214">
        <v>-75.575509999999994</v>
      </c>
      <c r="J214">
        <v>5.04617</v>
      </c>
      <c r="K214" t="s">
        <v>23</v>
      </c>
      <c r="L214" s="1">
        <v>44614</v>
      </c>
      <c r="M214" s="2" t="s">
        <v>249</v>
      </c>
      <c r="N214" t="s">
        <v>20</v>
      </c>
      <c r="O214" t="s">
        <v>21</v>
      </c>
      <c r="P214" t="s">
        <v>22</v>
      </c>
    </row>
    <row r="215" spans="1:16" x14ac:dyDescent="0.25">
      <c r="A215" t="s">
        <v>16</v>
      </c>
      <c r="B215" t="s">
        <v>17</v>
      </c>
      <c r="C215" t="s">
        <v>18</v>
      </c>
      <c r="D215" s="1">
        <v>44614</v>
      </c>
      <c r="E215" s="2" t="s">
        <v>250</v>
      </c>
      <c r="F215" s="3" t="str">
        <f>HYPERLINK("https://maps.google.com/maps?q=5.05069,-75.57379&amp;ll=5.05069,-75.57379&amp;z=14.75z","Vía Manizales - Medellín, Km 39.03 Irra - Manizales, , San Peregrino, Manizales, Caldas")</f>
        <v>Vía Manizales - Medellín, Km 39.03 Irra - Manizales, , San Peregrino, Manizales, Caldas</v>
      </c>
      <c r="G215">
        <v>33</v>
      </c>
      <c r="H215">
        <v>138107</v>
      </c>
      <c r="I215">
        <v>-75.573790000000002</v>
      </c>
      <c r="J215">
        <v>5.0506900000000003</v>
      </c>
      <c r="K215" t="s">
        <v>24</v>
      </c>
      <c r="L215" s="1">
        <v>44614</v>
      </c>
      <c r="M215" s="2" t="s">
        <v>250</v>
      </c>
      <c r="N215" t="s">
        <v>20</v>
      </c>
      <c r="O215" t="s">
        <v>21</v>
      </c>
      <c r="P215" t="s">
        <v>22</v>
      </c>
    </row>
    <row r="216" spans="1:16" x14ac:dyDescent="0.25">
      <c r="A216" t="s">
        <v>16</v>
      </c>
      <c r="B216" t="s">
        <v>17</v>
      </c>
      <c r="C216" t="s">
        <v>18</v>
      </c>
      <c r="D216" s="1">
        <v>44614</v>
      </c>
      <c r="E216" s="2" t="s">
        <v>251</v>
      </c>
      <c r="F216" s="3" t="str">
        <f>HYPERLINK("https://maps.google.com/maps?q=5.0535,-75.57164&amp;ll=5.0535,-75.57164&amp;z=14.75z","Vía Pereira - Manizales, Km 11.09 Manizales - Chinchiná, , San Peregrino, Manizales, Caldas")</f>
        <v>Vía Pereira - Manizales, Km 11.09 Manizales - Chinchiná, , San Peregrino, Manizales, Caldas</v>
      </c>
      <c r="G216">
        <v>30</v>
      </c>
      <c r="H216">
        <v>138108</v>
      </c>
      <c r="I216">
        <v>-75.571640000000002</v>
      </c>
      <c r="J216">
        <v>5.0534999999999997</v>
      </c>
      <c r="K216" t="s">
        <v>19</v>
      </c>
      <c r="L216" s="1">
        <v>44614</v>
      </c>
      <c r="M216" s="2" t="s">
        <v>251</v>
      </c>
      <c r="N216" t="s">
        <v>20</v>
      </c>
      <c r="O216" t="s">
        <v>21</v>
      </c>
      <c r="P216" t="s">
        <v>22</v>
      </c>
    </row>
    <row r="217" spans="1:16" x14ac:dyDescent="0.25">
      <c r="A217" t="s">
        <v>16</v>
      </c>
      <c r="B217" t="s">
        <v>17</v>
      </c>
      <c r="C217" t="s">
        <v>18</v>
      </c>
      <c r="D217" s="1">
        <v>44614</v>
      </c>
      <c r="E217" s="2" t="s">
        <v>251</v>
      </c>
      <c r="F217" s="3" t="str">
        <f>HYPERLINK("https://maps.google.com/maps?q=5.05516,-75.56947&amp;ll=5.05516,-75.56947&amp;z=14.75z","Vía Manizales - Medellín, Km 39.92 Irra - Manizales, , San Peregrino, Manizales, Caldas")</f>
        <v>Vía Manizales - Medellín, Km 39.92 Irra - Manizales, , San Peregrino, Manizales, Caldas</v>
      </c>
      <c r="G217">
        <v>26</v>
      </c>
      <c r="H217">
        <v>138108</v>
      </c>
      <c r="I217">
        <v>-75.569469999999995</v>
      </c>
      <c r="J217">
        <v>5.0551599999999999</v>
      </c>
      <c r="K217" t="s">
        <v>31</v>
      </c>
      <c r="L217" s="1">
        <v>44614</v>
      </c>
      <c r="M217" s="2" t="s">
        <v>252</v>
      </c>
      <c r="N217" t="s">
        <v>20</v>
      </c>
      <c r="O217" t="s">
        <v>21</v>
      </c>
      <c r="P217" t="s">
        <v>22</v>
      </c>
    </row>
    <row r="218" spans="1:16" x14ac:dyDescent="0.25">
      <c r="A218" t="s">
        <v>16</v>
      </c>
      <c r="B218" t="s">
        <v>17</v>
      </c>
      <c r="C218" t="s">
        <v>18</v>
      </c>
      <c r="D218" s="1">
        <v>44614</v>
      </c>
      <c r="E218" s="2" t="s">
        <v>252</v>
      </c>
      <c r="F218" s="3" t="str">
        <f>HYPERLINK("https://maps.google.com/maps?q=5.05162,-75.56751&amp;ll=5.05162,-75.56751&amp;z=14.75z","Vía Manizales - Medellín, Km 40.39 Irra - Manizales, , El Rosario, Manizales, Caldas")</f>
        <v>Vía Manizales - Medellín, Km 40.39 Irra - Manizales, , El Rosario, Manizales, Caldas</v>
      </c>
      <c r="G218">
        <v>29</v>
      </c>
      <c r="H218">
        <v>138109</v>
      </c>
      <c r="I218">
        <v>-75.567509999999999</v>
      </c>
      <c r="J218">
        <v>5.0516199999999998</v>
      </c>
      <c r="K218" t="s">
        <v>33</v>
      </c>
      <c r="L218" s="1">
        <v>44614</v>
      </c>
      <c r="M218" s="2" t="s">
        <v>253</v>
      </c>
      <c r="N218" t="s">
        <v>20</v>
      </c>
      <c r="O218" t="s">
        <v>21</v>
      </c>
      <c r="P218" t="s">
        <v>22</v>
      </c>
    </row>
    <row r="219" spans="1:16" x14ac:dyDescent="0.25">
      <c r="A219" t="s">
        <v>16</v>
      </c>
      <c r="B219" t="s">
        <v>17</v>
      </c>
      <c r="C219" t="s">
        <v>18</v>
      </c>
      <c r="D219" s="1">
        <v>44614</v>
      </c>
      <c r="E219" s="2" t="s">
        <v>253</v>
      </c>
      <c r="F219" s="3" t="str">
        <f>HYPERLINK("https://maps.google.com/maps?q=5.05014,-75.56548&amp;ll=5.05014,-75.56548&amp;z=14.75z","Vía Manizales - Medellín, Km 40.83 Irra - Manizales, , El Rosario, Manizales, Caldas")</f>
        <v>Vía Manizales - Medellín, Km 40.83 Irra - Manizales, , El Rosario, Manizales, Caldas</v>
      </c>
      <c r="G219">
        <v>38</v>
      </c>
      <c r="H219">
        <v>138109</v>
      </c>
      <c r="I219">
        <v>-75.565479999999994</v>
      </c>
      <c r="J219">
        <v>5.0501399999999999</v>
      </c>
      <c r="K219" t="s">
        <v>23</v>
      </c>
      <c r="L219" s="1">
        <v>44614</v>
      </c>
      <c r="M219" s="2" t="s">
        <v>253</v>
      </c>
      <c r="N219" t="s">
        <v>20</v>
      </c>
      <c r="O219" t="s">
        <v>21</v>
      </c>
      <c r="P219" t="s">
        <v>22</v>
      </c>
    </row>
    <row r="220" spans="1:16" x14ac:dyDescent="0.25">
      <c r="A220" t="s">
        <v>16</v>
      </c>
      <c r="B220" t="s">
        <v>17</v>
      </c>
      <c r="C220" t="s">
        <v>18</v>
      </c>
      <c r="D220" s="1">
        <v>44614</v>
      </c>
      <c r="E220" s="2" t="s">
        <v>254</v>
      </c>
      <c r="F220" s="3" t="str">
        <f>HYPERLINK("https://maps.google.com/maps?q=5.0541,-75.56265&amp;ll=5.0541,-75.56265&amp;z=14.75z","Vía Manizales - Medellín, Km 41.48 Irra - Manizales, , San Peregrino, Manizales, Caldas")</f>
        <v>Vía Manizales - Medellín, Km 41.48 Irra - Manizales, , San Peregrino, Manizales, Caldas</v>
      </c>
      <c r="G220">
        <v>43</v>
      </c>
      <c r="H220">
        <v>138110</v>
      </c>
      <c r="I220">
        <v>-75.562650000000005</v>
      </c>
      <c r="J220">
        <v>5.0541</v>
      </c>
      <c r="K220" t="s">
        <v>24</v>
      </c>
      <c r="L220" s="1">
        <v>44614</v>
      </c>
      <c r="M220" s="2" t="s">
        <v>254</v>
      </c>
      <c r="N220" t="s">
        <v>20</v>
      </c>
      <c r="O220" t="s">
        <v>21</v>
      </c>
      <c r="P220" t="s">
        <v>22</v>
      </c>
    </row>
    <row r="221" spans="1:16" x14ac:dyDescent="0.25">
      <c r="A221" t="s">
        <v>16</v>
      </c>
      <c r="B221" t="s">
        <v>17</v>
      </c>
      <c r="C221" t="s">
        <v>18</v>
      </c>
      <c r="D221" s="1">
        <v>44614</v>
      </c>
      <c r="E221" s="2" t="s">
        <v>255</v>
      </c>
      <c r="F221" s="3" t="str">
        <f>HYPERLINK("https://maps.google.com/maps?q=5.05816,-75.55908&amp;ll=5.05816,-75.55908&amp;z=14.75z","Vía Manizales - Medellín, Km 42.1 Irra - Manizales, , San Peregrino, Manizales, Caldas")</f>
        <v>Vía Manizales - Medellín, Km 42.1 Irra - Manizales, , San Peregrino, Manizales, Caldas</v>
      </c>
      <c r="G221">
        <v>41</v>
      </c>
      <c r="H221">
        <v>138110</v>
      </c>
      <c r="I221">
        <v>-75.559079999999994</v>
      </c>
      <c r="J221">
        <v>5.05816</v>
      </c>
      <c r="K221" t="s">
        <v>23</v>
      </c>
      <c r="L221" s="1">
        <v>44614</v>
      </c>
      <c r="M221" s="2" t="s">
        <v>255</v>
      </c>
      <c r="N221" t="s">
        <v>20</v>
      </c>
      <c r="O221" t="s">
        <v>21</v>
      </c>
      <c r="P221" t="s">
        <v>22</v>
      </c>
    </row>
    <row r="222" spans="1:16" x14ac:dyDescent="0.25">
      <c r="A222" t="s">
        <v>16</v>
      </c>
      <c r="B222" t="s">
        <v>17</v>
      </c>
      <c r="C222" t="s">
        <v>18</v>
      </c>
      <c r="D222" s="1">
        <v>44614</v>
      </c>
      <c r="E222" s="2" t="s">
        <v>256</v>
      </c>
      <c r="F222" s="3" t="str">
        <f>HYPERLINK("https://maps.google.com/maps?q=5.0597,-75.55575&amp;ll=5.0597,-75.55575&amp;z=14.75z","Vía Manizales - Medellín, Km 42.58 Irra - Manizales, , Quiebra Del Billar, Manizales, Caldas")</f>
        <v>Vía Manizales - Medellín, Km 42.58 Irra - Manizales, , Quiebra Del Billar, Manizales, Caldas</v>
      </c>
      <c r="G222">
        <v>32</v>
      </c>
      <c r="H222">
        <v>138111</v>
      </c>
      <c r="I222">
        <v>-75.555750000000003</v>
      </c>
      <c r="J222">
        <v>5.0597000000000003</v>
      </c>
      <c r="K222" t="s">
        <v>41</v>
      </c>
      <c r="L222" s="1">
        <v>44614</v>
      </c>
      <c r="M222" s="2" t="s">
        <v>256</v>
      </c>
      <c r="N222" t="s">
        <v>20</v>
      </c>
      <c r="O222" t="s">
        <v>21</v>
      </c>
      <c r="P222" t="s">
        <v>22</v>
      </c>
    </row>
    <row r="223" spans="1:16" x14ac:dyDescent="0.25">
      <c r="A223" t="s">
        <v>16</v>
      </c>
      <c r="B223" t="s">
        <v>17</v>
      </c>
      <c r="C223" t="s">
        <v>18</v>
      </c>
      <c r="D223" s="1">
        <v>44614</v>
      </c>
      <c r="E223" s="2" t="s">
        <v>257</v>
      </c>
      <c r="F223" s="3" t="str">
        <f>HYPERLINK("https://maps.google.com/maps?q=5.06129,-75.55186&amp;ll=5.06129,-75.55186&amp;z=14.75z","Vía Manizales - Medellín, Km 43.08 Irra - Manizales, , La Argelia, Manizales, Caldas")</f>
        <v>Vía Manizales - Medellín, Km 43.08 Irra - Manizales, , La Argelia, Manizales, Caldas</v>
      </c>
      <c r="G223">
        <v>28</v>
      </c>
      <c r="H223">
        <v>138111</v>
      </c>
      <c r="I223">
        <v>-75.551860000000005</v>
      </c>
      <c r="J223">
        <v>5.0612899999999996</v>
      </c>
      <c r="K223" t="s">
        <v>41</v>
      </c>
      <c r="L223" s="1">
        <v>44614</v>
      </c>
      <c r="M223" s="2" t="s">
        <v>257</v>
      </c>
      <c r="N223" t="s">
        <v>20</v>
      </c>
      <c r="O223" t="s">
        <v>21</v>
      </c>
      <c r="P223" t="s">
        <v>22</v>
      </c>
    </row>
    <row r="224" spans="1:16" x14ac:dyDescent="0.25">
      <c r="A224" t="s">
        <v>16</v>
      </c>
      <c r="B224" t="s">
        <v>17</v>
      </c>
      <c r="C224" t="s">
        <v>18</v>
      </c>
      <c r="D224" s="1">
        <v>44614</v>
      </c>
      <c r="E224" s="2" t="s">
        <v>258</v>
      </c>
      <c r="F224" s="3" t="str">
        <f>HYPERLINK("https://maps.google.com/maps?q=5.06243,-75.54784&amp;ll=5.06243,-75.54784&amp;z=14.75z","Vía Manizales - Medellín, Km 43.58 Irra - Manizales, , La Argelia, Manizales, Caldas")</f>
        <v>Vía Manizales - Medellín, Km 43.58 Irra - Manizales, , La Argelia, Manizales, Caldas</v>
      </c>
      <c r="G224">
        <v>31</v>
      </c>
      <c r="H224">
        <v>138112</v>
      </c>
      <c r="I224">
        <v>-75.547839999999994</v>
      </c>
      <c r="J224">
        <v>5.06243</v>
      </c>
      <c r="K224" t="s">
        <v>41</v>
      </c>
      <c r="L224" s="1">
        <v>44614</v>
      </c>
      <c r="M224" s="2" t="s">
        <v>260</v>
      </c>
      <c r="N224" t="s">
        <v>20</v>
      </c>
      <c r="O224" t="s">
        <v>21</v>
      </c>
      <c r="P224" t="s">
        <v>22</v>
      </c>
    </row>
    <row r="225" spans="1:16" x14ac:dyDescent="0.25">
      <c r="A225" t="s">
        <v>16</v>
      </c>
      <c r="B225" t="s">
        <v>17</v>
      </c>
      <c r="C225" t="s">
        <v>18</v>
      </c>
      <c r="D225" s="1">
        <v>44614</v>
      </c>
      <c r="E225" s="2" t="s">
        <v>260</v>
      </c>
      <c r="F225" s="3" t="str">
        <f>HYPERLINK("https://maps.google.com/maps?q=5.06148,-75.54717&amp;ll=5.06148,-75.54717&amp;z=14.75z","Vía Pereira - Manizales, Km 6.59 Manizales - Chinchiná, , La Argelia, Manizales, Caldas")</f>
        <v>Vía Pereira - Manizales, Km 6.59 Manizales - Chinchiná, , La Argelia, Manizales, Caldas</v>
      </c>
      <c r="G225">
        <v>27</v>
      </c>
      <c r="H225">
        <v>138112</v>
      </c>
      <c r="I225">
        <v>-75.547169999999994</v>
      </c>
      <c r="J225">
        <v>5.0614800000000004</v>
      </c>
      <c r="K225" t="s">
        <v>29</v>
      </c>
      <c r="L225" s="1">
        <v>44614</v>
      </c>
      <c r="M225" s="2" t="s">
        <v>259</v>
      </c>
      <c r="N225" t="s">
        <v>20</v>
      </c>
      <c r="O225" t="s">
        <v>21</v>
      </c>
      <c r="P225" t="s">
        <v>22</v>
      </c>
    </row>
    <row r="226" spans="1:16" x14ac:dyDescent="0.25">
      <c r="A226" t="s">
        <v>16</v>
      </c>
      <c r="B226" t="s">
        <v>17</v>
      </c>
      <c r="C226" t="s">
        <v>18</v>
      </c>
      <c r="D226" s="1">
        <v>44614</v>
      </c>
      <c r="E226" s="2" t="s">
        <v>259</v>
      </c>
      <c r="F226" s="3" t="str">
        <f>HYPERLINK("https://maps.google.com/maps?q=5.05856,-75.54986&amp;ll=5.05856,-75.54986&amp;z=14.75z","Vía Manizales - Medellín, Km 44.53 Irra - Manizales, , El Arenillo Parte, Manizales, Caldas")</f>
        <v>Vía Manizales - Medellín, Km 44.53 Irra - Manizales, , El Arenillo Parte, Manizales, Caldas</v>
      </c>
      <c r="G226">
        <v>32</v>
      </c>
      <c r="H226">
        <v>138113</v>
      </c>
      <c r="I226">
        <v>-75.549859999999995</v>
      </c>
      <c r="J226">
        <v>5.0585599999999999</v>
      </c>
      <c r="K226" t="s">
        <v>31</v>
      </c>
      <c r="L226" s="1">
        <v>44614</v>
      </c>
      <c r="M226" s="2" t="s">
        <v>259</v>
      </c>
      <c r="N226" t="s">
        <v>20</v>
      </c>
      <c r="O226" t="s">
        <v>21</v>
      </c>
      <c r="P226" t="s">
        <v>22</v>
      </c>
    </row>
    <row r="227" spans="1:16" x14ac:dyDescent="0.25">
      <c r="A227" t="s">
        <v>16</v>
      </c>
      <c r="B227" t="s">
        <v>17</v>
      </c>
      <c r="C227" t="s">
        <v>18</v>
      </c>
      <c r="D227" s="1">
        <v>44614</v>
      </c>
      <c r="E227" s="2" t="s">
        <v>261</v>
      </c>
      <c r="F227" s="3" t="str">
        <f>HYPERLINK("https://maps.google.com/maps?q=5.05569,-75.54743&amp;ll=5.05569,-75.54743&amp;z=14.75z","Vía Pereira - Manizales, Km 5.63 Manizales - Chinchiná, , El Arenillo Parte, Manizales, Caldas")</f>
        <v>Vía Pereira - Manizales, Km 5.63 Manizales - Chinchiná, , El Arenillo Parte, Manizales, Caldas</v>
      </c>
      <c r="G227">
        <v>31</v>
      </c>
      <c r="H227">
        <v>138113</v>
      </c>
      <c r="I227">
        <v>-75.547430000000006</v>
      </c>
      <c r="J227">
        <v>5.0556900000000002</v>
      </c>
      <c r="K227" t="s">
        <v>30</v>
      </c>
      <c r="L227" s="1">
        <v>44614</v>
      </c>
      <c r="M227" s="2" t="s">
        <v>261</v>
      </c>
      <c r="N227" t="s">
        <v>20</v>
      </c>
      <c r="O227" t="s">
        <v>21</v>
      </c>
      <c r="P227" t="s">
        <v>22</v>
      </c>
    </row>
    <row r="228" spans="1:16" x14ac:dyDescent="0.25">
      <c r="A228" t="s">
        <v>16</v>
      </c>
      <c r="B228" t="s">
        <v>17</v>
      </c>
      <c r="C228" t="s">
        <v>18</v>
      </c>
      <c r="D228" s="1">
        <v>44614</v>
      </c>
      <c r="E228" s="2" t="s">
        <v>262</v>
      </c>
      <c r="F228" s="3" t="str">
        <f>HYPERLINK("https://maps.google.com/maps?q=5.05458,-75.55031&amp;ll=5.05458,-75.55031&amp;z=14.75z","Vía Manizales - Medellín, Km 45.52 Irra - Manizales, , El Arenillo Parte, Manizales, Caldas")</f>
        <v>Vía Manizales - Medellín, Km 45.52 Irra - Manizales, , El Arenillo Parte, Manizales, Caldas</v>
      </c>
      <c r="G228">
        <v>31</v>
      </c>
      <c r="H228">
        <v>138114</v>
      </c>
      <c r="I228">
        <v>-75.550309999999996</v>
      </c>
      <c r="J228">
        <v>5.0545799999999996</v>
      </c>
      <c r="K228" t="s">
        <v>30</v>
      </c>
      <c r="L228" s="1">
        <v>44614</v>
      </c>
      <c r="M228" s="2" t="s">
        <v>262</v>
      </c>
      <c r="N228" t="s">
        <v>20</v>
      </c>
      <c r="O228" t="s">
        <v>21</v>
      </c>
      <c r="P228" t="s">
        <v>22</v>
      </c>
    </row>
    <row r="229" spans="1:16" x14ac:dyDescent="0.25">
      <c r="A229" t="s">
        <v>16</v>
      </c>
      <c r="B229" t="s">
        <v>17</v>
      </c>
      <c r="C229" t="s">
        <v>18</v>
      </c>
      <c r="D229" s="1">
        <v>44614</v>
      </c>
      <c r="E229" s="2" t="s">
        <v>697</v>
      </c>
      <c r="F229" s="3" t="str">
        <f>HYPERLINK("https://maps.google.com/maps?q=5.05247,-75.54823&amp;ll=5.05247,-75.54823&amp;z=14.75z","Vía Manizales - Medellín, Km 46.01 Irra - Manizales, , El Arenillo Parte, Manizales, Caldas")</f>
        <v>Vía Manizales - Medellín, Km 46.01 Irra - Manizales, , El Arenillo Parte, Manizales, Caldas</v>
      </c>
      <c r="G229">
        <v>26</v>
      </c>
      <c r="H229">
        <v>138114</v>
      </c>
      <c r="I229">
        <v>-75.548230000000004</v>
      </c>
      <c r="J229">
        <v>5.0524699999999996</v>
      </c>
      <c r="K229" t="s">
        <v>41</v>
      </c>
      <c r="L229" s="1">
        <v>44614</v>
      </c>
      <c r="M229" s="2" t="s">
        <v>697</v>
      </c>
      <c r="N229" t="s">
        <v>20</v>
      </c>
      <c r="O229" t="s">
        <v>21</v>
      </c>
      <c r="P229" t="s">
        <v>22</v>
      </c>
    </row>
    <row r="230" spans="1:16" x14ac:dyDescent="0.25">
      <c r="A230" t="s">
        <v>16</v>
      </c>
      <c r="B230" t="s">
        <v>17</v>
      </c>
      <c r="C230" t="s">
        <v>18</v>
      </c>
      <c r="D230" s="1">
        <v>44614</v>
      </c>
      <c r="E230" s="2" t="s">
        <v>263</v>
      </c>
      <c r="F230" s="3" t="str">
        <f>HYPERLINK("https://maps.google.com/maps?q=5.05262,-75.54449&amp;ll=5.05262,-75.54449&amp;z=14.75z","Vía Manizales - Medellín, Km 46.5 Irra - Manizales, , El Arenillo Parte, Manizales, Caldas")</f>
        <v>Vía Manizales - Medellín, Km 46.5 Irra - Manizales, , El Arenillo Parte, Manizales, Caldas</v>
      </c>
      <c r="G230">
        <v>27</v>
      </c>
      <c r="H230">
        <v>138115</v>
      </c>
      <c r="I230">
        <v>-75.544489999999996</v>
      </c>
      <c r="J230">
        <v>5.0526200000000001</v>
      </c>
      <c r="K230" t="s">
        <v>33</v>
      </c>
      <c r="L230" s="1">
        <v>44614</v>
      </c>
      <c r="M230" s="2" t="s">
        <v>263</v>
      </c>
      <c r="N230" t="s">
        <v>20</v>
      </c>
      <c r="O230" t="s">
        <v>21</v>
      </c>
      <c r="P230" t="s">
        <v>22</v>
      </c>
    </row>
    <row r="231" spans="1:16" x14ac:dyDescent="0.25">
      <c r="A231" t="s">
        <v>16</v>
      </c>
      <c r="B231" t="s">
        <v>17</v>
      </c>
      <c r="C231" t="s">
        <v>18</v>
      </c>
      <c r="D231" s="1">
        <v>44614</v>
      </c>
      <c r="E231" s="2" t="s">
        <v>264</v>
      </c>
      <c r="F231" s="3" t="str">
        <f>HYPERLINK("https://maps.google.com/maps?q=5.05135,-75.54127&amp;ll=5.05135,-75.54127&amp;z=14.75z","Vía Pereira - Manizales, Km 3.74 Manizales - Chinchiná, El Arenillo, El Arenillo Parte, Manizales, Caldas")</f>
        <v>Vía Pereira - Manizales, Km 3.74 Manizales - Chinchiná, El Arenillo, El Arenillo Parte, Manizales, Caldas</v>
      </c>
      <c r="G231">
        <v>29</v>
      </c>
      <c r="H231">
        <v>138115</v>
      </c>
      <c r="I231">
        <v>-75.541269999999997</v>
      </c>
      <c r="J231">
        <v>5.0513500000000002</v>
      </c>
      <c r="K231" t="s">
        <v>33</v>
      </c>
      <c r="L231" s="1">
        <v>44614</v>
      </c>
      <c r="M231" s="2" t="s">
        <v>264</v>
      </c>
      <c r="N231" t="s">
        <v>20</v>
      </c>
      <c r="O231" t="s">
        <v>21</v>
      </c>
      <c r="P231" t="s">
        <v>22</v>
      </c>
    </row>
    <row r="232" spans="1:16" x14ac:dyDescent="0.25">
      <c r="A232" t="s">
        <v>16</v>
      </c>
      <c r="B232" t="s">
        <v>17</v>
      </c>
      <c r="C232" t="s">
        <v>18</v>
      </c>
      <c r="D232" s="1">
        <v>44614</v>
      </c>
      <c r="E232" s="2" t="s">
        <v>264</v>
      </c>
      <c r="F232" s="3" t="str">
        <f>HYPERLINK("https://maps.google.com/maps?q=5.05066,-75.53781&amp;ll=5.05066,-75.53781&amp;z=14.75z","Vía Manizales - Medellín, Km 47.44 Irra - Manizales, , El Arenillo Parte, Manizales, Caldas")</f>
        <v>Vía Manizales - Medellín, Km 47.44 Irra - Manizales, , El Arenillo Parte, Manizales, Caldas</v>
      </c>
      <c r="G232">
        <v>32</v>
      </c>
      <c r="H232">
        <v>138116</v>
      </c>
      <c r="I232">
        <v>-75.537809999999993</v>
      </c>
      <c r="J232">
        <v>5.0506599999999997</v>
      </c>
      <c r="K232" t="s">
        <v>31</v>
      </c>
      <c r="L232" s="1">
        <v>44614</v>
      </c>
      <c r="M232" s="2" t="s">
        <v>698</v>
      </c>
      <c r="N232" t="s">
        <v>20</v>
      </c>
      <c r="O232" t="s">
        <v>21</v>
      </c>
      <c r="P232" t="s">
        <v>22</v>
      </c>
    </row>
    <row r="233" spans="1:16" x14ac:dyDescent="0.25">
      <c r="A233" t="s">
        <v>16</v>
      </c>
      <c r="B233" t="s">
        <v>17</v>
      </c>
      <c r="C233" t="s">
        <v>18</v>
      </c>
      <c r="D233" s="1">
        <v>44614</v>
      </c>
      <c r="E233" s="2" t="s">
        <v>698</v>
      </c>
      <c r="F233" s="3" t="str">
        <f>HYPERLINK("https://maps.google.com/maps?q=5.04854,-75.53558&amp;ll=5.04854,-75.53558&amp;z=14.75z","Vía Manizales - Medellín, Km 47.84 Irra - Manizales, , El Arenillo Parte, Manizales, Caldas")</f>
        <v>Vía Manizales - Medellín, Km 47.84 Irra - Manizales, , El Arenillo Parte, Manizales, Caldas</v>
      </c>
      <c r="G233">
        <v>22</v>
      </c>
      <c r="H233">
        <v>138116</v>
      </c>
      <c r="I233">
        <v>-75.535579999999996</v>
      </c>
      <c r="J233">
        <v>5.04854</v>
      </c>
      <c r="K233" t="s">
        <v>33</v>
      </c>
      <c r="L233" s="1">
        <v>44614</v>
      </c>
      <c r="M233" s="2" t="s">
        <v>265</v>
      </c>
      <c r="N233" t="s">
        <v>20</v>
      </c>
      <c r="O233" t="s">
        <v>21</v>
      </c>
      <c r="P233" t="s">
        <v>22</v>
      </c>
    </row>
    <row r="234" spans="1:16" x14ac:dyDescent="0.25">
      <c r="A234" t="s">
        <v>16</v>
      </c>
      <c r="B234" t="s">
        <v>17</v>
      </c>
      <c r="C234" t="s">
        <v>27</v>
      </c>
      <c r="D234" s="1">
        <v>44614</v>
      </c>
      <c r="E234" s="2" t="s">
        <v>265</v>
      </c>
      <c r="F234" s="3" t="str">
        <f>HYPERLINK("https://maps.google.com/maps?q=5.04722,-75.53583&amp;ll=5.04722,-75.53583&amp;z=14.75z","Vía Pereira - Manizales, Km 2.73 Manizales - Chinchiná, Almacafé, Atardeceres, Manizales, Caldas")</f>
        <v>Vía Pereira - Manizales, Km 2.73 Manizales - Chinchiná, Almacafé, Atardeceres, Manizales, Caldas</v>
      </c>
      <c r="G234">
        <v>19</v>
      </c>
      <c r="H234">
        <v>138116</v>
      </c>
      <c r="I234">
        <v>-75.535830000000004</v>
      </c>
      <c r="J234">
        <v>5.0472200000000003</v>
      </c>
      <c r="K234" t="s">
        <v>23</v>
      </c>
      <c r="L234" s="1">
        <v>44614</v>
      </c>
      <c r="M234" s="2" t="s">
        <v>266</v>
      </c>
      <c r="N234" t="s">
        <v>20</v>
      </c>
      <c r="O234" t="s">
        <v>21</v>
      </c>
      <c r="P234" t="s">
        <v>28</v>
      </c>
    </row>
    <row r="235" spans="1:16" x14ac:dyDescent="0.25">
      <c r="A235" t="s">
        <v>16</v>
      </c>
      <c r="B235" t="s">
        <v>17</v>
      </c>
      <c r="C235" t="s">
        <v>18</v>
      </c>
      <c r="D235" s="1">
        <v>44614</v>
      </c>
      <c r="E235" s="2" t="s">
        <v>266</v>
      </c>
      <c r="F235" s="3" t="str">
        <f>HYPERLINK("https://maps.google.com/maps?q=5.04722,-75.53583&amp;ll=5.04722,-75.53583&amp;z=14.75z","Vía Pereira - Manizales, Km 2.73 Manizales - Chinchiná, Almacafé, Atardeceres, Manizales, Caldas")</f>
        <v>Vía Pereira - Manizales, Km 2.73 Manizales - Chinchiná, Almacafé, Atardeceres, Manizales, Caldas</v>
      </c>
      <c r="G235">
        <v>19</v>
      </c>
      <c r="H235">
        <v>138116</v>
      </c>
      <c r="I235">
        <v>-75.535830000000004</v>
      </c>
      <c r="J235">
        <v>5.0472200000000003</v>
      </c>
      <c r="K235" t="s">
        <v>23</v>
      </c>
      <c r="L235" s="1">
        <v>44614</v>
      </c>
      <c r="M235" s="2" t="s">
        <v>266</v>
      </c>
      <c r="N235" t="s">
        <v>20</v>
      </c>
      <c r="O235" t="s">
        <v>21</v>
      </c>
      <c r="P235" t="s">
        <v>28</v>
      </c>
    </row>
    <row r="236" spans="1:16" x14ac:dyDescent="0.25">
      <c r="A236" t="s">
        <v>16</v>
      </c>
      <c r="B236" t="s">
        <v>17</v>
      </c>
      <c r="C236" t="s">
        <v>18</v>
      </c>
      <c r="D236" s="1">
        <v>44614</v>
      </c>
      <c r="E236" s="2" t="s">
        <v>267</v>
      </c>
      <c r="F236" s="3" t="str">
        <f>HYPERLINK("https://maps.google.com/maps?q=5.04906,-75.53231&amp;ll=5.04906,-75.53231&amp;z=14.75z","Vía Manizales - Medellín, Km 49.03 Irra - Manizales, , , Manizales, Caldas")</f>
        <v>Vía Manizales - Medellín, Km 49.03 Irra - Manizales, , , Manizales, Caldas</v>
      </c>
      <c r="G236">
        <v>30</v>
      </c>
      <c r="H236">
        <v>138117</v>
      </c>
      <c r="I236">
        <v>-75.532309999999995</v>
      </c>
      <c r="J236">
        <v>5.0490599999999999</v>
      </c>
      <c r="K236" t="s">
        <v>30</v>
      </c>
      <c r="L236" s="1">
        <v>44614</v>
      </c>
      <c r="M236" s="2" t="s">
        <v>699</v>
      </c>
      <c r="N236" t="s">
        <v>20</v>
      </c>
      <c r="O236" t="s">
        <v>21</v>
      </c>
      <c r="P236" t="s">
        <v>22</v>
      </c>
    </row>
    <row r="237" spans="1:16" x14ac:dyDescent="0.25">
      <c r="A237" t="s">
        <v>16</v>
      </c>
      <c r="B237" t="s">
        <v>17</v>
      </c>
      <c r="C237" t="s">
        <v>18</v>
      </c>
      <c r="D237" s="1">
        <v>44614</v>
      </c>
      <c r="E237" s="2" t="s">
        <v>699</v>
      </c>
      <c r="F237" s="3" t="str">
        <f>HYPERLINK("https://maps.google.com/maps?q=5.04747,-75.52957&amp;ll=5.04747,-75.52957&amp;z=14.75z","Vía Manizales - Medellín, Km 49.54 Irra - Manizales, Almacafé, Atardeceres, Manizales, Caldas")</f>
        <v>Vía Manizales - Medellín, Km 49.54 Irra - Manizales, Almacafé, Atardeceres, Manizales, Caldas</v>
      </c>
      <c r="G237">
        <v>36</v>
      </c>
      <c r="H237">
        <v>138117</v>
      </c>
      <c r="I237">
        <v>-75.529570000000007</v>
      </c>
      <c r="J237">
        <v>5.0474699999999997</v>
      </c>
      <c r="K237" t="s">
        <v>24</v>
      </c>
      <c r="L237" s="1">
        <v>44614</v>
      </c>
      <c r="M237" s="2" t="s">
        <v>699</v>
      </c>
      <c r="N237" t="s">
        <v>20</v>
      </c>
      <c r="O237" t="s">
        <v>21</v>
      </c>
      <c r="P237" t="s">
        <v>22</v>
      </c>
    </row>
    <row r="238" spans="1:16" x14ac:dyDescent="0.25">
      <c r="A238" t="s">
        <v>16</v>
      </c>
      <c r="B238" t="s">
        <v>17</v>
      </c>
      <c r="C238" t="s">
        <v>18</v>
      </c>
      <c r="D238" s="1">
        <v>44614</v>
      </c>
      <c r="E238" s="2" t="s">
        <v>268</v>
      </c>
      <c r="F238" s="3" t="str">
        <f>HYPERLINK("https://maps.google.com/maps?q=5.05043,-75.52842&amp;ll=5.05043,-75.52842&amp;z=14.75z","Vía Panamericana, Km 0.26 B Estambul - B La Enea, Estambul, La Macarena, Manizales, Caldas")</f>
        <v>Vía Panamericana, Km 0.26 B Estambul - B La Enea, Estambul, La Macarena, Manizales, Caldas</v>
      </c>
      <c r="G238">
        <v>22</v>
      </c>
      <c r="H238">
        <v>138118</v>
      </c>
      <c r="I238">
        <v>-75.528419999999997</v>
      </c>
      <c r="J238">
        <v>5.0504300000000004</v>
      </c>
      <c r="K238" t="s">
        <v>24</v>
      </c>
      <c r="L238" s="1">
        <v>44614</v>
      </c>
      <c r="M238" s="2" t="s">
        <v>268</v>
      </c>
      <c r="N238" t="s">
        <v>20</v>
      </c>
      <c r="O238" t="s">
        <v>21</v>
      </c>
      <c r="P238" t="s">
        <v>22</v>
      </c>
    </row>
    <row r="239" spans="1:16" x14ac:dyDescent="0.25">
      <c r="A239" t="s">
        <v>16</v>
      </c>
      <c r="B239" t="s">
        <v>17</v>
      </c>
      <c r="C239" t="s">
        <v>18</v>
      </c>
      <c r="D239" s="1">
        <v>44614</v>
      </c>
      <c r="E239" s="2" t="s">
        <v>269</v>
      </c>
      <c r="F239" s="3" t="str">
        <f>HYPERLINK("https://maps.google.com/maps?q=5.05198,-75.5265&amp;ll=5.05198,-75.5265&amp;z=14.75z","Vía Panamericana, Km 0.64 B Estambul - B La Enea, Estambul, La Macarena, Manizales, Caldas")</f>
        <v>Vía Panamericana, Km 0.64 B Estambul - B La Enea, Estambul, La Macarena, Manizales, Caldas</v>
      </c>
      <c r="G239">
        <v>20</v>
      </c>
      <c r="H239">
        <v>138118</v>
      </c>
      <c r="I239">
        <v>-75.526499999999999</v>
      </c>
      <c r="J239">
        <v>5.0519800000000004</v>
      </c>
      <c r="K239" t="s">
        <v>19</v>
      </c>
      <c r="L239" s="1">
        <v>44614</v>
      </c>
      <c r="M239" s="2" t="s">
        <v>269</v>
      </c>
      <c r="N239" t="s">
        <v>20</v>
      </c>
      <c r="O239" t="s">
        <v>21</v>
      </c>
      <c r="P239" t="s">
        <v>22</v>
      </c>
    </row>
    <row r="240" spans="1:16" x14ac:dyDescent="0.25">
      <c r="A240" t="s">
        <v>16</v>
      </c>
      <c r="B240" t="s">
        <v>17</v>
      </c>
      <c r="C240" t="s">
        <v>18</v>
      </c>
      <c r="D240" s="1">
        <v>44614</v>
      </c>
      <c r="E240" s="2" t="s">
        <v>270</v>
      </c>
      <c r="F240" s="3" t="str">
        <f>HYPERLINK("https://maps.google.com/maps?q=5.05474,-75.52617&amp;ll=5.05474,-75.52617&amp;z=14.75z","Vía Panamericana, Km 0.98 B Estambul - B La Enea, Estambul, La Macarena, Manizales, Caldas")</f>
        <v>Vía Panamericana, Km 0.98 B Estambul - B La Enea, Estambul, La Macarena, Manizales, Caldas</v>
      </c>
      <c r="G240">
        <v>22</v>
      </c>
      <c r="H240">
        <v>138118</v>
      </c>
      <c r="I240">
        <v>-75.526169999999993</v>
      </c>
      <c r="J240">
        <v>5.0547399999999998</v>
      </c>
      <c r="K240" t="s">
        <v>24</v>
      </c>
      <c r="L240" s="1">
        <v>44614</v>
      </c>
      <c r="M240" s="2" t="s">
        <v>270</v>
      </c>
      <c r="N240" t="s">
        <v>20</v>
      </c>
      <c r="O240" t="s">
        <v>21</v>
      </c>
      <c r="P240" t="s">
        <v>22</v>
      </c>
    </row>
    <row r="241" spans="1:16" x14ac:dyDescent="0.25">
      <c r="A241" t="s">
        <v>16</v>
      </c>
      <c r="B241" t="s">
        <v>17</v>
      </c>
      <c r="C241" t="s">
        <v>27</v>
      </c>
      <c r="D241" s="1">
        <v>44614</v>
      </c>
      <c r="E241" s="2" t="s">
        <v>270</v>
      </c>
      <c r="F241" s="3" t="str">
        <f>HYPERLINK("https://maps.google.com/maps?q=5.05661,-75.52459&amp;ll=5.05661,-75.52459&amp;z=14.75z","Vía Panamericana, Km 1.1 B Estambul - B La Enea, Estambul, La Macarena, Manizales, Caldas")</f>
        <v>Vía Panamericana, Km 1.1 B Estambul - B La Enea, Estambul, La Macarena, Manizales, Caldas</v>
      </c>
      <c r="G241">
        <v>35</v>
      </c>
      <c r="H241">
        <v>138119</v>
      </c>
      <c r="I241">
        <v>-75.524590000000003</v>
      </c>
      <c r="J241">
        <v>5.05661</v>
      </c>
      <c r="K241" t="s">
        <v>24</v>
      </c>
      <c r="L241" s="1">
        <v>44614</v>
      </c>
      <c r="M241" s="2" t="s">
        <v>270</v>
      </c>
      <c r="N241" t="s">
        <v>20</v>
      </c>
      <c r="O241" t="s">
        <v>21</v>
      </c>
      <c r="P241" t="s">
        <v>22</v>
      </c>
    </row>
    <row r="242" spans="1:16" x14ac:dyDescent="0.25">
      <c r="A242" t="s">
        <v>16</v>
      </c>
      <c r="B242" t="s">
        <v>17</v>
      </c>
      <c r="C242" t="s">
        <v>18</v>
      </c>
      <c r="D242" s="1">
        <v>44614</v>
      </c>
      <c r="E242" s="2" t="s">
        <v>271</v>
      </c>
      <c r="F242" s="3" t="str">
        <f>HYPERLINK("https://maps.google.com/maps?q=5.05727,-75.52404&amp;ll=5.05727,-75.52404&amp;z=14.75z","Cll 12, 36A, Nogales, La Macarena, Manizales, Caldas")</f>
        <v>Cll 12, 36A, Nogales, La Macarena, Manizales, Caldas</v>
      </c>
      <c r="G242">
        <v>9</v>
      </c>
      <c r="H242">
        <v>138119</v>
      </c>
      <c r="I242">
        <v>-75.524039999999999</v>
      </c>
      <c r="J242">
        <v>5.0572699999999999</v>
      </c>
      <c r="K242" t="s">
        <v>24</v>
      </c>
      <c r="L242" s="1">
        <v>44614</v>
      </c>
      <c r="M242" s="2" t="s">
        <v>271</v>
      </c>
      <c r="N242" t="s">
        <v>20</v>
      </c>
      <c r="O242" t="s">
        <v>21</v>
      </c>
      <c r="P242" t="s">
        <v>22</v>
      </c>
    </row>
    <row r="243" spans="1:16" x14ac:dyDescent="0.25">
      <c r="A243" t="s">
        <v>16</v>
      </c>
      <c r="B243" t="s">
        <v>17</v>
      </c>
      <c r="C243" t="s">
        <v>18</v>
      </c>
      <c r="D243" s="1">
        <v>44614</v>
      </c>
      <c r="E243" s="2" t="s">
        <v>271</v>
      </c>
      <c r="F243" s="3" t="str">
        <f>HYPERLINK("https://maps.google.com/maps?q=5.05838,-75.52144&amp;ll=5.05838,-75.52144&amp;z=14.75z","Vía Panamericana, Km 1.68 B Estambul - B La Enea, Estambul, La Macarena, Manizales, Caldas")</f>
        <v>Vía Panamericana, Km 1.68 B Estambul - B La Enea, Estambul, La Macarena, Manizales, Caldas</v>
      </c>
      <c r="G243">
        <v>24</v>
      </c>
      <c r="H243">
        <v>138119</v>
      </c>
      <c r="I243">
        <v>-75.521439999999998</v>
      </c>
      <c r="J243">
        <v>5.0583799999999997</v>
      </c>
      <c r="K243" t="s">
        <v>33</v>
      </c>
      <c r="L243" s="1">
        <v>44614</v>
      </c>
      <c r="M243" s="2" t="s">
        <v>272</v>
      </c>
      <c r="N243" t="s">
        <v>20</v>
      </c>
      <c r="O243" t="s">
        <v>21</v>
      </c>
      <c r="P243" t="s">
        <v>22</v>
      </c>
    </row>
    <row r="244" spans="1:16" x14ac:dyDescent="0.25">
      <c r="A244" t="s">
        <v>16</v>
      </c>
      <c r="B244" t="s">
        <v>17</v>
      </c>
      <c r="C244" t="s">
        <v>18</v>
      </c>
      <c r="D244" s="1">
        <v>44614</v>
      </c>
      <c r="E244" s="2" t="s">
        <v>272</v>
      </c>
      <c r="F244" s="3" t="str">
        <f>HYPERLINK("https://maps.google.com/maps?q=5.05483,-75.52017&amp;ll=5.05483,-75.52017&amp;z=14.75z","Vía Panamericana, Km 2.13 B Estambul - B La Enea, El Carmen, La Macarena, Manizales, Caldas")</f>
        <v>Vía Panamericana, Km 2.13 B Estambul - B La Enea, El Carmen, La Macarena, Manizales, Caldas</v>
      </c>
      <c r="G244">
        <v>38</v>
      </c>
      <c r="H244">
        <v>138119</v>
      </c>
      <c r="I244">
        <v>-75.520169999999993</v>
      </c>
      <c r="J244">
        <v>5.0548299999999999</v>
      </c>
      <c r="K244" t="s">
        <v>31</v>
      </c>
      <c r="L244" s="1">
        <v>44614</v>
      </c>
      <c r="M244" s="2" t="s">
        <v>272</v>
      </c>
      <c r="N244" t="s">
        <v>20</v>
      </c>
      <c r="O244" t="s">
        <v>21</v>
      </c>
      <c r="P244" t="s">
        <v>22</v>
      </c>
    </row>
    <row r="245" spans="1:16" x14ac:dyDescent="0.25">
      <c r="A245" t="s">
        <v>16</v>
      </c>
      <c r="B245" t="s">
        <v>17</v>
      </c>
      <c r="C245" t="s">
        <v>18</v>
      </c>
      <c r="D245" s="1">
        <v>44614</v>
      </c>
      <c r="E245" s="2" t="s">
        <v>274</v>
      </c>
      <c r="F245" s="3" t="str">
        <f>HYPERLINK("https://maps.google.com/maps?q=5.05681,-75.51701&amp;ll=5.05681,-75.51701&amp;z=14.75z","Vía Panamericana, Km 2.72 B Estambul - B La Enea, El Carmen, La Macarena, Manizales, Caldas")</f>
        <v>Vía Panamericana, Km 2.72 B Estambul - B La Enea, El Carmen, La Macarena, Manizales, Caldas</v>
      </c>
      <c r="G245">
        <v>38</v>
      </c>
      <c r="H245">
        <v>138120</v>
      </c>
      <c r="I245">
        <v>-75.517009999999999</v>
      </c>
      <c r="J245">
        <v>5.0568099999999996</v>
      </c>
      <c r="K245" t="s">
        <v>24</v>
      </c>
      <c r="L245" s="1">
        <v>44614</v>
      </c>
      <c r="M245" s="2" t="s">
        <v>273</v>
      </c>
      <c r="N245" t="s">
        <v>20</v>
      </c>
      <c r="O245" t="s">
        <v>21</v>
      </c>
      <c r="P245" t="s">
        <v>22</v>
      </c>
    </row>
    <row r="246" spans="1:16" x14ac:dyDescent="0.25">
      <c r="A246" t="s">
        <v>16</v>
      </c>
      <c r="B246" t="s">
        <v>17</v>
      </c>
      <c r="C246" t="s">
        <v>18</v>
      </c>
      <c r="D246" s="1">
        <v>44614</v>
      </c>
      <c r="E246" s="2" t="s">
        <v>273</v>
      </c>
      <c r="F246" s="3" t="str">
        <f>HYPERLINK("https://maps.google.com/maps?q=5.05645,-75.51513&amp;ll=5.05645,-75.51513&amp;z=14.75z","Cra 39, 25A, El Nevado, La Fuente, Manizales, Caldas")</f>
        <v>Cra 39, 25A, El Nevado, La Fuente, Manizales, Caldas</v>
      </c>
      <c r="G246">
        <v>24</v>
      </c>
      <c r="H246">
        <v>138120</v>
      </c>
      <c r="I246">
        <v>-75.515129999999999</v>
      </c>
      <c r="J246">
        <v>5.0564499999999999</v>
      </c>
      <c r="K246" t="s">
        <v>41</v>
      </c>
      <c r="L246" s="1">
        <v>44614</v>
      </c>
      <c r="M246" s="2" t="s">
        <v>273</v>
      </c>
      <c r="N246" t="s">
        <v>20</v>
      </c>
      <c r="O246" t="s">
        <v>21</v>
      </c>
      <c r="P246" t="s">
        <v>22</v>
      </c>
    </row>
    <row r="247" spans="1:16" x14ac:dyDescent="0.25">
      <c r="A247" t="s">
        <v>16</v>
      </c>
      <c r="B247" t="s">
        <v>17</v>
      </c>
      <c r="C247" t="s">
        <v>18</v>
      </c>
      <c r="D247" s="1">
        <v>44614</v>
      </c>
      <c r="E247" s="2" t="s">
        <v>275</v>
      </c>
      <c r="F247" s="3" t="str">
        <f>HYPERLINK("https://maps.google.com/maps?q=5.05366,-75.51355&amp;ll=5.05366,-75.51355&amp;z=14.75z","Vía Panamericana, Km 3.46 B Estambul - B La Enea, El Paraíso, La Fuente, Manizales, Caldas")</f>
        <v>Vía Panamericana, Km 3.46 B Estambul - B La Enea, El Paraíso, La Fuente, Manizales, Caldas</v>
      </c>
      <c r="G247">
        <v>40</v>
      </c>
      <c r="H247">
        <v>138121</v>
      </c>
      <c r="I247">
        <v>-75.513549999999995</v>
      </c>
      <c r="J247">
        <v>5.0536599999999998</v>
      </c>
      <c r="K247" t="s">
        <v>24</v>
      </c>
      <c r="L247" s="1">
        <v>44614</v>
      </c>
      <c r="M247" s="2" t="s">
        <v>275</v>
      </c>
      <c r="N247" t="s">
        <v>20</v>
      </c>
      <c r="O247" t="s">
        <v>21</v>
      </c>
      <c r="P247" t="s">
        <v>22</v>
      </c>
    </row>
    <row r="248" spans="1:16" x14ac:dyDescent="0.25">
      <c r="A248" t="s">
        <v>16</v>
      </c>
      <c r="B248" t="s">
        <v>17</v>
      </c>
      <c r="C248" t="s">
        <v>18</v>
      </c>
      <c r="D248" s="1">
        <v>44614</v>
      </c>
      <c r="E248" s="2" t="s">
        <v>276</v>
      </c>
      <c r="F248" s="3" t="str">
        <f>HYPERLINK("https://maps.google.com/maps?q=5.0529,-75.50858&amp;ll=5.0529,-75.50858&amp;z=14.75z","Vía Panamericana, Km 7.02 B La Enea - B El Paraíso, Camilo Torres, Universitaria, Manizales, Caldas")</f>
        <v>Vía Panamericana, Km 7.02 B La Enea - B El Paraíso, Camilo Torres, Universitaria, Manizales, Caldas</v>
      </c>
      <c r="G248">
        <v>34</v>
      </c>
      <c r="H248">
        <v>138121</v>
      </c>
      <c r="I248">
        <v>-75.508579999999995</v>
      </c>
      <c r="J248">
        <v>5.0529000000000002</v>
      </c>
      <c r="K248" t="s">
        <v>33</v>
      </c>
      <c r="L248" s="1">
        <v>44614</v>
      </c>
      <c r="M248" s="2" t="s">
        <v>276</v>
      </c>
      <c r="N248" t="s">
        <v>20</v>
      </c>
      <c r="O248" t="s">
        <v>21</v>
      </c>
      <c r="P248" t="s">
        <v>22</v>
      </c>
    </row>
    <row r="249" spans="1:16" x14ac:dyDescent="0.25">
      <c r="A249" t="s">
        <v>16</v>
      </c>
      <c r="B249" t="s">
        <v>17</v>
      </c>
      <c r="C249" t="s">
        <v>18</v>
      </c>
      <c r="D249" s="1">
        <v>44614</v>
      </c>
      <c r="E249" s="2" t="s">
        <v>277</v>
      </c>
      <c r="F249" s="3" t="str">
        <f>HYPERLINK("https://maps.google.com/maps?q=5.04927,-75.5058&amp;ll=5.04927,-75.5058&amp;z=14.75z","Vía Panamericana, Km 6.49 B La Enea - B El Paraíso, Las Colinas, Universitaria, Manizales, Caldas")</f>
        <v>Vía Panamericana, Km 6.49 B La Enea - B El Paraíso, Las Colinas, Universitaria, Manizales, Caldas</v>
      </c>
      <c r="G249">
        <v>12</v>
      </c>
      <c r="H249">
        <v>138122</v>
      </c>
      <c r="I249">
        <v>-75.505799999999994</v>
      </c>
      <c r="J249">
        <v>5.0492699999999999</v>
      </c>
      <c r="K249" t="s">
        <v>31</v>
      </c>
      <c r="L249" s="1">
        <v>44614</v>
      </c>
      <c r="M249" s="2" t="s">
        <v>277</v>
      </c>
      <c r="N249" t="s">
        <v>20</v>
      </c>
      <c r="O249" t="s">
        <v>21</v>
      </c>
      <c r="P249" t="s">
        <v>22</v>
      </c>
    </row>
    <row r="250" spans="1:16" x14ac:dyDescent="0.25">
      <c r="A250" t="s">
        <v>16</v>
      </c>
      <c r="B250" t="s">
        <v>17</v>
      </c>
      <c r="C250" t="s">
        <v>193</v>
      </c>
      <c r="D250" s="1">
        <v>44614</v>
      </c>
      <c r="E250" s="2" t="s">
        <v>277</v>
      </c>
      <c r="F250" s="3" t="str">
        <f>HYPERLINK("https://maps.google.com/maps?q=5.04855,-75.50593&amp;ll=5.04855,-75.50593&amp;z=14.75z","Vía Panamericana, Km 4.71 B Estambul - B La Enea, Las Colinas, Universitaria, Manizales, Caldas")</f>
        <v>Vía Panamericana, Km 4.71 B Estambul - B La Enea, Las Colinas, Universitaria, Manizales, Caldas</v>
      </c>
      <c r="G250">
        <v>15</v>
      </c>
      <c r="H250">
        <v>138122</v>
      </c>
      <c r="I250">
        <v>-75.505930000000006</v>
      </c>
      <c r="J250">
        <v>5.0485499999999996</v>
      </c>
      <c r="K250" t="s">
        <v>31</v>
      </c>
      <c r="L250" s="1">
        <v>44614</v>
      </c>
      <c r="M250" s="2" t="s">
        <v>277</v>
      </c>
      <c r="N250" t="s">
        <v>20</v>
      </c>
      <c r="O250" t="s">
        <v>21</v>
      </c>
      <c r="P250" t="s">
        <v>22</v>
      </c>
    </row>
    <row r="251" spans="1:16" x14ac:dyDescent="0.25">
      <c r="A251" t="s">
        <v>16</v>
      </c>
      <c r="B251" t="s">
        <v>17</v>
      </c>
      <c r="C251" t="s">
        <v>18</v>
      </c>
      <c r="D251" s="1">
        <v>44614</v>
      </c>
      <c r="E251" s="2" t="s">
        <v>278</v>
      </c>
      <c r="F251" s="3" t="str">
        <f>HYPERLINK("https://maps.google.com/maps?q=5.04629,-75.50523&amp;ll=5.04629,-75.50523&amp;z=14.75z","Vía Panamericana, Km 6.16 B La Enea - B El Paraíso, Malhabar, Universitaria, Manizales, Caldas")</f>
        <v>Vía Panamericana, Km 6.16 B La Enea - B El Paraíso, Malhabar, Universitaria, Manizales, Caldas</v>
      </c>
      <c r="G251">
        <v>35</v>
      </c>
      <c r="H251">
        <v>138122</v>
      </c>
      <c r="I251">
        <v>-75.505229999999997</v>
      </c>
      <c r="J251">
        <v>5.0462899999999999</v>
      </c>
      <c r="K251" t="s">
        <v>31</v>
      </c>
      <c r="L251" s="1">
        <v>44614</v>
      </c>
      <c r="M251" s="2" t="s">
        <v>278</v>
      </c>
      <c r="N251" t="s">
        <v>20</v>
      </c>
      <c r="O251" t="s">
        <v>21</v>
      </c>
      <c r="P251" t="s">
        <v>22</v>
      </c>
    </row>
    <row r="252" spans="1:16" x14ac:dyDescent="0.25">
      <c r="A252" t="s">
        <v>16</v>
      </c>
      <c r="B252" t="s">
        <v>17</v>
      </c>
      <c r="C252" t="s">
        <v>18</v>
      </c>
      <c r="D252" s="1">
        <v>44614</v>
      </c>
      <c r="E252" s="2" t="s">
        <v>339</v>
      </c>
      <c r="F252" s="3" t="str">
        <f>HYPERLINK("https://maps.google.com/maps?q=5.04145,-75.50159&amp;ll=5.04145,-75.50159&amp;z=14.75z","Vía Salida Villamaría, Aranjuez, Universitaria, Manizales, Caldas")</f>
        <v>Vía Salida Villamaría, Aranjuez, Universitaria, Manizales, Caldas</v>
      </c>
      <c r="G252">
        <v>47</v>
      </c>
      <c r="H252">
        <v>138123</v>
      </c>
      <c r="I252">
        <v>-75.501589999999993</v>
      </c>
      <c r="J252">
        <v>5.0414500000000002</v>
      </c>
      <c r="K252" t="s">
        <v>33</v>
      </c>
      <c r="L252" s="1">
        <v>44614</v>
      </c>
      <c r="M252" s="2" t="s">
        <v>339</v>
      </c>
      <c r="N252" t="s">
        <v>20</v>
      </c>
      <c r="O252" t="s">
        <v>21</v>
      </c>
      <c r="P252" t="s">
        <v>22</v>
      </c>
    </row>
    <row r="253" spans="1:16" x14ac:dyDescent="0.25">
      <c r="A253" t="s">
        <v>16</v>
      </c>
      <c r="B253" t="s">
        <v>17</v>
      </c>
      <c r="C253" t="s">
        <v>18</v>
      </c>
      <c r="D253" s="1">
        <v>44614</v>
      </c>
      <c r="E253" s="2" t="s">
        <v>340</v>
      </c>
      <c r="F253" s="3" t="str">
        <f>HYPERLINK("https://maps.google.com/maps?q=5.03961,-75.49521&amp;ll=5.03961,-75.49521&amp;z=14.75z","Vía Panamericana, Km 6.41 B Estambul - B La Enea, , , Manizales, Caldas")</f>
        <v>Vía Panamericana, Km 6.41 B Estambul - B La Enea, , , Manizales, Caldas</v>
      </c>
      <c r="G253">
        <v>47</v>
      </c>
      <c r="H253">
        <v>138124</v>
      </c>
      <c r="I253">
        <v>-75.49521</v>
      </c>
      <c r="J253">
        <v>5.0396099999999997</v>
      </c>
      <c r="K253" t="s">
        <v>41</v>
      </c>
      <c r="L253" s="1">
        <v>44614</v>
      </c>
      <c r="M253" s="2" t="s">
        <v>340</v>
      </c>
      <c r="N253" t="s">
        <v>20</v>
      </c>
      <c r="O253" t="s">
        <v>21</v>
      </c>
      <c r="P253" t="s">
        <v>22</v>
      </c>
    </row>
    <row r="254" spans="1:16" x14ac:dyDescent="0.25">
      <c r="A254" t="s">
        <v>16</v>
      </c>
      <c r="B254" t="s">
        <v>17</v>
      </c>
      <c r="C254" t="s">
        <v>18</v>
      </c>
      <c r="D254" s="1">
        <v>44614</v>
      </c>
      <c r="E254" s="2" t="s">
        <v>341</v>
      </c>
      <c r="F254" s="3" t="str">
        <f>HYPERLINK("https://maps.google.com/maps?q=5.04082,-75.49038&amp;ll=5.04082,-75.49038&amp;z=14.75z","Vía Panamericana, Km 7.07 B Estambul - B La Enea, , , Villamaría, Caldas")</f>
        <v>Vía Panamericana, Km 7.07 B Estambul - B La Enea, , , Villamaría, Caldas</v>
      </c>
      <c r="G254">
        <v>42</v>
      </c>
      <c r="H254">
        <v>138124</v>
      </c>
      <c r="I254">
        <v>-75.490380000000002</v>
      </c>
      <c r="J254">
        <v>5.0408200000000001</v>
      </c>
      <c r="K254" t="s">
        <v>41</v>
      </c>
      <c r="L254" s="1">
        <v>44614</v>
      </c>
      <c r="M254" s="2" t="s">
        <v>341</v>
      </c>
      <c r="N254" t="s">
        <v>20</v>
      </c>
      <c r="O254" t="s">
        <v>21</v>
      </c>
      <c r="P254" t="s">
        <v>22</v>
      </c>
    </row>
    <row r="255" spans="1:16" x14ac:dyDescent="0.25">
      <c r="A255" t="s">
        <v>16</v>
      </c>
      <c r="B255" t="s">
        <v>17</v>
      </c>
      <c r="C255" t="s">
        <v>18</v>
      </c>
      <c r="D255" s="1">
        <v>44614</v>
      </c>
      <c r="E255" s="2" t="s">
        <v>342</v>
      </c>
      <c r="F255" s="3" t="str">
        <f>HYPERLINK("https://maps.google.com/maps?q=5.03836,-75.48463&amp;ll=5.03836,-75.48463&amp;z=14.75z","Vía Panamericana, Km 3.35 B La Enea - B El Paraíso, , , Manizales, Caldas")</f>
        <v>Vía Panamericana, Km 3.35 B La Enea - B El Paraíso, , , Manizales, Caldas</v>
      </c>
      <c r="G255">
        <v>40</v>
      </c>
      <c r="H255">
        <v>138125</v>
      </c>
      <c r="I255">
        <v>-75.484629999999996</v>
      </c>
      <c r="J255">
        <v>5.0383599999999999</v>
      </c>
      <c r="K255" t="s">
        <v>33</v>
      </c>
      <c r="L255" s="1">
        <v>44614</v>
      </c>
      <c r="M255" s="2" t="s">
        <v>342</v>
      </c>
      <c r="N255" t="s">
        <v>20</v>
      </c>
      <c r="O255" t="s">
        <v>21</v>
      </c>
      <c r="P255" t="s">
        <v>22</v>
      </c>
    </row>
    <row r="256" spans="1:16" x14ac:dyDescent="0.25">
      <c r="A256" t="s">
        <v>16</v>
      </c>
      <c r="B256" t="s">
        <v>17</v>
      </c>
      <c r="C256" t="s">
        <v>18</v>
      </c>
      <c r="D256" s="1">
        <v>44614</v>
      </c>
      <c r="E256" s="2" t="s">
        <v>700</v>
      </c>
      <c r="F256" s="3" t="str">
        <f>HYPERLINK("https://maps.google.com/maps?q=5.03316,-75.48096&amp;ll=5.03316,-75.48096&amp;z=14.75z","Vía Panamericana, Km 2.66 B La Enea - B El Paraíso, , , Villamaría, Caldas")</f>
        <v>Vía Panamericana, Km 2.66 B La Enea - B El Paraíso, , , Villamaría, Caldas</v>
      </c>
      <c r="G256">
        <v>45</v>
      </c>
      <c r="H256">
        <v>138126</v>
      </c>
      <c r="I256">
        <v>-75.480959999999996</v>
      </c>
      <c r="J256">
        <v>5.0331599999999996</v>
      </c>
      <c r="K256" t="s">
        <v>33</v>
      </c>
      <c r="L256" s="1">
        <v>44614</v>
      </c>
      <c r="M256" s="2" t="s">
        <v>700</v>
      </c>
      <c r="N256" t="s">
        <v>20</v>
      </c>
      <c r="O256" t="s">
        <v>21</v>
      </c>
      <c r="P256" t="s">
        <v>22</v>
      </c>
    </row>
    <row r="257" spans="1:16" x14ac:dyDescent="0.25">
      <c r="A257" t="s">
        <v>16</v>
      </c>
      <c r="B257" t="s">
        <v>17</v>
      </c>
      <c r="C257" t="s">
        <v>18</v>
      </c>
      <c r="D257" s="1">
        <v>44614</v>
      </c>
      <c r="E257" s="2" t="s">
        <v>701</v>
      </c>
      <c r="F257" s="3" t="str">
        <f>HYPERLINK("https://maps.google.com/maps?q=5.03212,-75.47593&amp;ll=5.03212,-75.47593&amp;z=14.75z","Vía Panamericana, Km 9.1 B Estambul - B La Enea, Lusitania, Tesorito, Manizales, Caldas")</f>
        <v>Vía Panamericana, Km 9.1 B Estambul - B La Enea, Lusitania, Tesorito, Manizales, Caldas</v>
      </c>
      <c r="G257">
        <v>27</v>
      </c>
      <c r="H257">
        <v>138126</v>
      </c>
      <c r="I257">
        <v>-75.475930000000005</v>
      </c>
      <c r="J257">
        <v>5.0321199999999999</v>
      </c>
      <c r="K257" t="s">
        <v>24</v>
      </c>
      <c r="L257" s="1">
        <v>44614</v>
      </c>
      <c r="M257" s="2" t="s">
        <v>701</v>
      </c>
      <c r="N257" t="s">
        <v>20</v>
      </c>
      <c r="O257" t="s">
        <v>21</v>
      </c>
      <c r="P257" t="s">
        <v>22</v>
      </c>
    </row>
    <row r="258" spans="1:16" x14ac:dyDescent="0.25">
      <c r="A258" t="s">
        <v>16</v>
      </c>
      <c r="B258" t="s">
        <v>17</v>
      </c>
      <c r="C258" t="s">
        <v>27</v>
      </c>
      <c r="D258" s="1">
        <v>44614</v>
      </c>
      <c r="E258" s="2" t="s">
        <v>701</v>
      </c>
      <c r="F258" s="3" t="str">
        <f>HYPERLINK("https://maps.google.com/maps?q=5.03223,-75.47463&amp;ll=5.03223,-75.47463&amp;z=14.75z","Vía Panamericana, Km 9.26 B Estambul - B La Enea, La Enea, Tesorito, Manizales, Caldas")</f>
        <v>Vía Panamericana, Km 9.26 B Estambul - B La Enea, La Enea, Tesorito, Manizales, Caldas</v>
      </c>
      <c r="G258">
        <v>28</v>
      </c>
      <c r="H258">
        <v>138126</v>
      </c>
      <c r="I258">
        <v>-75.474630000000005</v>
      </c>
      <c r="J258">
        <v>5.0322300000000002</v>
      </c>
      <c r="K258" t="s">
        <v>41</v>
      </c>
      <c r="L258" s="1">
        <v>44614</v>
      </c>
      <c r="M258" s="2" t="s">
        <v>701</v>
      </c>
      <c r="N258" t="s">
        <v>20</v>
      </c>
      <c r="O258" t="s">
        <v>21</v>
      </c>
      <c r="P258" t="s">
        <v>22</v>
      </c>
    </row>
    <row r="259" spans="1:16" x14ac:dyDescent="0.25">
      <c r="A259" t="s">
        <v>16</v>
      </c>
      <c r="B259" t="s">
        <v>17</v>
      </c>
      <c r="C259" t="s">
        <v>18</v>
      </c>
      <c r="D259" s="1">
        <v>44614</v>
      </c>
      <c r="E259" s="2" t="s">
        <v>702</v>
      </c>
      <c r="F259" s="3" t="str">
        <f>HYPERLINK("https://maps.google.com/maps?q=5.03199,-75.47185&amp;ll=5.03199,-75.47185&amp;z=14.75z","Vía Panamericana, Km 9.64 B Estambul - B La Enea, La Enea, Tesorito, Manizales, Caldas")</f>
        <v>Vía Panamericana, Km 9.64 B Estambul - B La Enea, La Enea, Tesorito, Manizales, Caldas</v>
      </c>
      <c r="G259">
        <v>33</v>
      </c>
      <c r="H259">
        <v>138127</v>
      </c>
      <c r="I259">
        <v>-75.471850000000003</v>
      </c>
      <c r="J259">
        <v>5.0319900000000004</v>
      </c>
      <c r="K259" t="s">
        <v>41</v>
      </c>
      <c r="L259" s="1">
        <v>44614</v>
      </c>
      <c r="M259" s="2" t="s">
        <v>702</v>
      </c>
      <c r="N259" t="s">
        <v>20</v>
      </c>
      <c r="O259" t="s">
        <v>21</v>
      </c>
      <c r="P259" t="s">
        <v>22</v>
      </c>
    </row>
    <row r="260" spans="1:16" x14ac:dyDescent="0.25">
      <c r="A260" t="s">
        <v>16</v>
      </c>
      <c r="B260" t="s">
        <v>17</v>
      </c>
      <c r="C260" t="s">
        <v>18</v>
      </c>
      <c r="D260" s="1">
        <v>44614</v>
      </c>
      <c r="E260" s="2" t="s">
        <v>702</v>
      </c>
      <c r="F260" s="3" t="str">
        <f>HYPERLINK("https://maps.google.com/maps?q=5.03462,-75.46778&amp;ll=5.03462,-75.46778&amp;z=14.75z","Vía Panamericana, La Enea, Tesorito, Manizales, Caldas")</f>
        <v>Vía Panamericana, La Enea, Tesorito, Manizales, Caldas</v>
      </c>
      <c r="G260">
        <v>39</v>
      </c>
      <c r="H260">
        <v>138127</v>
      </c>
      <c r="I260">
        <v>-75.467780000000005</v>
      </c>
      <c r="J260">
        <v>5.0346200000000003</v>
      </c>
      <c r="K260" t="s">
        <v>24</v>
      </c>
      <c r="L260" s="1">
        <v>44614</v>
      </c>
      <c r="M260" s="2" t="s">
        <v>703</v>
      </c>
      <c r="N260" t="s">
        <v>20</v>
      </c>
      <c r="O260" t="s">
        <v>21</v>
      </c>
      <c r="P260" t="s">
        <v>22</v>
      </c>
    </row>
    <row r="261" spans="1:16" x14ac:dyDescent="0.25">
      <c r="A261" t="s">
        <v>16</v>
      </c>
      <c r="B261" t="s">
        <v>17</v>
      </c>
      <c r="C261" t="s">
        <v>18</v>
      </c>
      <c r="D261" s="1">
        <v>44614</v>
      </c>
      <c r="E261" s="2" t="s">
        <v>703</v>
      </c>
      <c r="F261" s="3" t="str">
        <f>HYPERLINK("https://maps.google.com/maps?q=5.03587,-75.46228&amp;ll=5.03587,-75.46228&amp;z=14.75z","Vía Panamericana, Km 10.52 B Estambul - B La Enea, La Alhambra, Tesorito, Manizales, Caldas")</f>
        <v>Vía Panamericana, Km 10.52 B Estambul - B La Enea, La Alhambra, Tesorito, Manizales, Caldas</v>
      </c>
      <c r="G261">
        <v>39</v>
      </c>
      <c r="H261">
        <v>138128</v>
      </c>
      <c r="I261">
        <v>-75.462280000000007</v>
      </c>
      <c r="J261">
        <v>5.0358700000000001</v>
      </c>
      <c r="K261" t="s">
        <v>41</v>
      </c>
      <c r="L261" s="1">
        <v>44614</v>
      </c>
      <c r="M261" s="2" t="s">
        <v>703</v>
      </c>
      <c r="N261" t="s">
        <v>20</v>
      </c>
      <c r="O261" t="s">
        <v>21</v>
      </c>
      <c r="P261" t="s">
        <v>22</v>
      </c>
    </row>
    <row r="262" spans="1:16" x14ac:dyDescent="0.25">
      <c r="A262" t="s">
        <v>16</v>
      </c>
      <c r="B262" t="s">
        <v>17</v>
      </c>
      <c r="C262" t="s">
        <v>18</v>
      </c>
      <c r="D262" s="1">
        <v>44614</v>
      </c>
      <c r="E262" s="2" t="s">
        <v>704</v>
      </c>
      <c r="F262" s="3" t="str">
        <f>HYPERLINK("https://maps.google.com/maps?q=5.03597,-75.45783&amp;ll=5.03597,-75.45783&amp;z=14.75z","Vía Panamericana, Km 11.34 B Estambul - B La Enea, Juanchito - Zona Industrial, Tesorito, Manizales, Caldas")</f>
        <v>Vía Panamericana, Km 11.34 B Estambul - B La Enea, Juanchito - Zona Industrial, Tesorito, Manizales, Caldas</v>
      </c>
      <c r="G262">
        <v>30</v>
      </c>
      <c r="H262">
        <v>138128</v>
      </c>
      <c r="I262">
        <v>-75.457830000000001</v>
      </c>
      <c r="J262">
        <v>5.0359699999999998</v>
      </c>
      <c r="K262" t="s">
        <v>41</v>
      </c>
      <c r="L262" s="1">
        <v>44614</v>
      </c>
      <c r="M262" s="2" t="s">
        <v>704</v>
      </c>
      <c r="N262" t="s">
        <v>20</v>
      </c>
      <c r="O262" t="s">
        <v>21</v>
      </c>
      <c r="P262" t="s">
        <v>22</v>
      </c>
    </row>
    <row r="263" spans="1:16" x14ac:dyDescent="0.25">
      <c r="A263" t="s">
        <v>16</v>
      </c>
      <c r="B263" t="s">
        <v>17</v>
      </c>
      <c r="C263" t="s">
        <v>18</v>
      </c>
      <c r="D263" s="1">
        <v>44614</v>
      </c>
      <c r="E263" s="2" t="s">
        <v>705</v>
      </c>
      <c r="F263" s="3" t="str">
        <f>HYPERLINK("https://maps.google.com/maps?q=5.0367,-75.45324&amp;ll=5.0367,-75.45324&amp;z=14.75z","Vía Panamericana, Km 11.82 B Estambul - B La Enea, Juanchito - Zona Industrial, Tesorito, Manizales, Caldas")</f>
        <v>Vía Panamericana, Km 11.82 B Estambul - B La Enea, Juanchito - Zona Industrial, Tesorito, Manizales, Caldas</v>
      </c>
      <c r="G263">
        <v>22</v>
      </c>
      <c r="H263">
        <v>138129</v>
      </c>
      <c r="I263">
        <v>-75.453239999999994</v>
      </c>
      <c r="J263">
        <v>5.0366999999999997</v>
      </c>
      <c r="K263" t="s">
        <v>41</v>
      </c>
      <c r="L263" s="1">
        <v>44614</v>
      </c>
      <c r="M263" s="2" t="s">
        <v>705</v>
      </c>
      <c r="N263" t="s">
        <v>20</v>
      </c>
      <c r="O263" t="s">
        <v>21</v>
      </c>
      <c r="P263" t="s">
        <v>22</v>
      </c>
    </row>
    <row r="264" spans="1:16" x14ac:dyDescent="0.25">
      <c r="A264" t="s">
        <v>16</v>
      </c>
      <c r="B264" t="s">
        <v>17</v>
      </c>
      <c r="C264" t="s">
        <v>18</v>
      </c>
      <c r="D264" s="1">
        <v>44614</v>
      </c>
      <c r="E264" s="2" t="s">
        <v>305</v>
      </c>
      <c r="F264" s="3" t="str">
        <f>HYPERLINK("https://maps.google.com/maps?q=5.03834,-75.44979&amp;ll=5.03834,-75.44979&amp;z=14.75z","Vía Panamericana, Km 12.26 B Estambul - B La Enea, Juanchito - Zona Industrial, Tesorito, Manizales, Caldas")</f>
        <v>Vía Panamericana, Km 12.26 B Estambul - B La Enea, Juanchito - Zona Industrial, Tesorito, Manizales, Caldas</v>
      </c>
      <c r="G264">
        <v>13</v>
      </c>
      <c r="H264">
        <v>138129</v>
      </c>
      <c r="I264">
        <v>-75.449789999999993</v>
      </c>
      <c r="J264">
        <v>5.0383399999999998</v>
      </c>
      <c r="K264" t="s">
        <v>24</v>
      </c>
      <c r="L264" s="1">
        <v>44614</v>
      </c>
      <c r="M264" s="2" t="s">
        <v>305</v>
      </c>
      <c r="N264" t="s">
        <v>20</v>
      </c>
      <c r="O264" t="s">
        <v>21</v>
      </c>
      <c r="P264" t="s">
        <v>22</v>
      </c>
    </row>
    <row r="265" spans="1:16" x14ac:dyDescent="0.25">
      <c r="A265" t="s">
        <v>16</v>
      </c>
      <c r="B265" t="s">
        <v>17</v>
      </c>
      <c r="C265" t="s">
        <v>18</v>
      </c>
      <c r="D265" s="1">
        <v>44614</v>
      </c>
      <c r="E265" s="2" t="s">
        <v>706</v>
      </c>
      <c r="F265" s="3" t="str">
        <f>HYPERLINK("https://maps.google.com/maps?q=5.03858,-75.44631&amp;ll=5.03858,-75.44631&amp;z=14.75z","Vía Panamericana, Km 12.72 B Estambul - B La Enea, Juanchito - Zona Industrial, Tesorito, Manizales, Caldas")</f>
        <v>Vía Panamericana, Km 12.72 B Estambul - B La Enea, Juanchito - Zona Industrial, Tesorito, Manizales, Caldas</v>
      </c>
      <c r="G265">
        <v>31</v>
      </c>
      <c r="H265">
        <v>138130</v>
      </c>
      <c r="I265">
        <v>-75.446309999999997</v>
      </c>
      <c r="J265">
        <v>5.0385799999999996</v>
      </c>
      <c r="K265" t="s">
        <v>41</v>
      </c>
      <c r="L265" s="1">
        <v>44614</v>
      </c>
      <c r="M265" s="2" t="s">
        <v>706</v>
      </c>
      <c r="N265" t="s">
        <v>20</v>
      </c>
      <c r="O265" t="s">
        <v>21</v>
      </c>
      <c r="P265" t="s">
        <v>22</v>
      </c>
    </row>
    <row r="266" spans="1:16" x14ac:dyDescent="0.25">
      <c r="A266" t="s">
        <v>16</v>
      </c>
      <c r="B266" t="s">
        <v>17</v>
      </c>
      <c r="C266" t="s">
        <v>18</v>
      </c>
      <c r="D266" s="1">
        <v>44614</v>
      </c>
      <c r="E266" s="2" t="s">
        <v>707</v>
      </c>
      <c r="F266" s="3" t="str">
        <f>HYPERLINK("https://maps.google.com/maps?q=5.03755,-75.44326&amp;ll=5.03755,-75.44326&amp;z=14.75z","Vía Panamericana, Km 13.09 B Estambul - B La Enea, Juanchito - Zona Industrial, Tesorito, Manizales, Caldas")</f>
        <v>Vía Panamericana, Km 13.09 B Estambul - B La Enea, Juanchito - Zona Industrial, Tesorito, Manizales, Caldas</v>
      </c>
      <c r="G266">
        <v>10</v>
      </c>
      <c r="H266">
        <v>138130</v>
      </c>
      <c r="I266">
        <v>-75.443259999999995</v>
      </c>
      <c r="J266">
        <v>5.0375500000000004</v>
      </c>
      <c r="K266" t="s">
        <v>41</v>
      </c>
      <c r="L266" s="1">
        <v>44614</v>
      </c>
      <c r="M266" s="2" t="s">
        <v>707</v>
      </c>
      <c r="N266" t="s">
        <v>20</v>
      </c>
      <c r="O266" t="s">
        <v>21</v>
      </c>
      <c r="P266" t="s">
        <v>22</v>
      </c>
    </row>
    <row r="267" spans="1:16" x14ac:dyDescent="0.25">
      <c r="A267" t="s">
        <v>16</v>
      </c>
      <c r="B267" t="s">
        <v>17</v>
      </c>
      <c r="C267" t="s">
        <v>18</v>
      </c>
      <c r="D267" s="1">
        <v>44614</v>
      </c>
      <c r="E267" s="2" t="s">
        <v>779</v>
      </c>
      <c r="F267" s="3" t="str">
        <f>HYPERLINK("https://maps.google.com/maps?q=5.03693,-75.44106&amp;ll=5.03693,-75.44106&amp;z=14.75z","Vía Panamericana, Km 13.32 B Estambul - B La Enea, Juanchito - Zona Industrial, Tesorito, Manizales, Caldas")</f>
        <v>Vía Panamericana, Km 13.32 B Estambul - B La Enea, Juanchito - Zona Industrial, Tesorito, Manizales, Caldas</v>
      </c>
      <c r="G267">
        <v>16</v>
      </c>
      <c r="H267">
        <v>138130</v>
      </c>
      <c r="I267">
        <v>-75.441059999999993</v>
      </c>
      <c r="J267">
        <v>5.0369299999999999</v>
      </c>
      <c r="K267" t="s">
        <v>41</v>
      </c>
      <c r="L267" s="1">
        <v>44614</v>
      </c>
      <c r="M267" s="2" t="s">
        <v>779</v>
      </c>
      <c r="N267" t="s">
        <v>20</v>
      </c>
      <c r="O267" t="s">
        <v>21</v>
      </c>
      <c r="P267" t="s">
        <v>22</v>
      </c>
    </row>
    <row r="268" spans="1:16" x14ac:dyDescent="0.25">
      <c r="A268" t="s">
        <v>16</v>
      </c>
      <c r="B268" t="s">
        <v>17</v>
      </c>
      <c r="C268" t="s">
        <v>18</v>
      </c>
      <c r="D268" s="1">
        <v>44614</v>
      </c>
      <c r="E268" s="2" t="s">
        <v>708</v>
      </c>
      <c r="F268" s="3" t="str">
        <f>HYPERLINK("https://maps.google.com/maps?q=5.03672,-75.43828&amp;ll=5.03672,-75.43828&amp;z=14.75z","Vía Panamericana, Km 13.63 B Estambul - B La Enea, Juanchito - Zona Industrial, Tesorito, Manizales, Caldas")</f>
        <v>Vía Panamericana, Km 13.63 B Estambul - B La Enea, Juanchito - Zona Industrial, Tesorito, Manizales, Caldas</v>
      </c>
      <c r="G268">
        <v>28</v>
      </c>
      <c r="H268">
        <v>138131</v>
      </c>
      <c r="I268">
        <v>-75.438280000000006</v>
      </c>
      <c r="J268">
        <v>5.0367199999999999</v>
      </c>
      <c r="K268" t="s">
        <v>33</v>
      </c>
      <c r="L268" s="1">
        <v>44614</v>
      </c>
      <c r="M268" s="2" t="s">
        <v>708</v>
      </c>
      <c r="N268" t="s">
        <v>20</v>
      </c>
      <c r="O268" t="s">
        <v>21</v>
      </c>
      <c r="P268" t="s">
        <v>22</v>
      </c>
    </row>
    <row r="269" spans="1:16" x14ac:dyDescent="0.25">
      <c r="A269" t="s">
        <v>16</v>
      </c>
      <c r="B269" t="s">
        <v>17</v>
      </c>
      <c r="C269" t="s">
        <v>18</v>
      </c>
      <c r="D269" s="1">
        <v>44614</v>
      </c>
      <c r="E269" s="2" t="s">
        <v>709</v>
      </c>
      <c r="F269" s="3" t="str">
        <f>HYPERLINK("https://maps.google.com/maps?q=5.03532,-75.43479&amp;ll=5.03532,-75.43479&amp;z=14.75z","Vía Panamericana, Km 14.08 B Estambul - B La Enea, Juanchito - Zona Industrial, Tesorito, Manizales, Caldas")</f>
        <v>Vía Panamericana, Km 14.08 B Estambul - B La Enea, Juanchito - Zona Industrial, Tesorito, Manizales, Caldas</v>
      </c>
      <c r="G269">
        <v>25</v>
      </c>
      <c r="H269">
        <v>138131</v>
      </c>
      <c r="I269">
        <v>-75.434790000000007</v>
      </c>
      <c r="J269">
        <v>5.0353199999999996</v>
      </c>
      <c r="K269" t="s">
        <v>33</v>
      </c>
      <c r="L269" s="1">
        <v>44614</v>
      </c>
      <c r="M269" s="2" t="s">
        <v>709</v>
      </c>
      <c r="N269" t="s">
        <v>20</v>
      </c>
      <c r="O269" t="s">
        <v>21</v>
      </c>
      <c r="P269" t="s">
        <v>22</v>
      </c>
    </row>
    <row r="270" spans="1:16" x14ac:dyDescent="0.25">
      <c r="A270" t="s">
        <v>16</v>
      </c>
      <c r="B270" t="s">
        <v>17</v>
      </c>
      <c r="C270" t="s">
        <v>18</v>
      </c>
      <c r="D270" s="1">
        <v>44614</v>
      </c>
      <c r="E270" s="2" t="s">
        <v>710</v>
      </c>
      <c r="F270" s="3" t="str">
        <f>HYPERLINK("https://maps.google.com/maps?q=5.03409,-75.43141&amp;ll=5.03409,-75.43141&amp;z=14.75z","Vía Panamericana, Km 14.46 B Estambul - B La Enea, Juanchito - Zona Industrial, Tesorito, Manizales, Caldas")</f>
        <v>Vía Panamericana, Km 14.46 B Estambul - B La Enea, Juanchito - Zona Industrial, Tesorito, Manizales, Caldas</v>
      </c>
      <c r="G270">
        <v>30</v>
      </c>
      <c r="H270">
        <v>138132</v>
      </c>
      <c r="I270">
        <v>-75.43141</v>
      </c>
      <c r="J270">
        <v>5.03409</v>
      </c>
      <c r="K270" t="s">
        <v>33</v>
      </c>
      <c r="L270" s="1">
        <v>44614</v>
      </c>
      <c r="M270" s="2" t="s">
        <v>710</v>
      </c>
      <c r="N270" t="s">
        <v>20</v>
      </c>
      <c r="O270" t="s">
        <v>21</v>
      </c>
      <c r="P270" t="s">
        <v>22</v>
      </c>
    </row>
    <row r="271" spans="1:16" x14ac:dyDescent="0.25">
      <c r="A271" t="s">
        <v>16</v>
      </c>
      <c r="B271" t="s">
        <v>17</v>
      </c>
      <c r="C271" t="s">
        <v>18</v>
      </c>
      <c r="D271" s="1">
        <v>44614</v>
      </c>
      <c r="E271" s="2" t="s">
        <v>711</v>
      </c>
      <c r="F271" s="3" t="str">
        <f>HYPERLINK("https://maps.google.com/maps?q=5.03667,-75.43051&amp;ll=5.03667,-75.43051&amp;z=14.75z","Vía Panamericana, Km 14.91 B Estambul - B La Enea, Malteria, Tesorito, Manizales, Caldas")</f>
        <v>Vía Panamericana, Km 14.91 B Estambul - B La Enea, Malteria, Tesorito, Manizales, Caldas</v>
      </c>
      <c r="G271">
        <v>25</v>
      </c>
      <c r="H271">
        <v>138132</v>
      </c>
      <c r="I271">
        <v>-75.430509999999998</v>
      </c>
      <c r="J271">
        <v>5.03667</v>
      </c>
      <c r="K271" t="s">
        <v>24</v>
      </c>
      <c r="L271" s="1">
        <v>44614</v>
      </c>
      <c r="M271" s="2" t="s">
        <v>711</v>
      </c>
      <c r="N271" t="s">
        <v>20</v>
      </c>
      <c r="O271" t="s">
        <v>21</v>
      </c>
      <c r="P271" t="s">
        <v>22</v>
      </c>
    </row>
    <row r="272" spans="1:16" x14ac:dyDescent="0.25">
      <c r="A272" t="s">
        <v>16</v>
      </c>
      <c r="B272" t="s">
        <v>17</v>
      </c>
      <c r="C272" t="s">
        <v>18</v>
      </c>
      <c r="D272" s="1">
        <v>44614</v>
      </c>
      <c r="E272" s="2" t="s">
        <v>712</v>
      </c>
      <c r="F272" s="3" t="str">
        <f>HYPERLINK("https://maps.google.com/maps?q=5.03927,-75.42853&amp;ll=5.03927,-75.42853&amp;z=14.75z","Vía Panamericana, Km 15.21 B Estambul - B La Enea, Malteria, Tesorito, Manizales, Caldas")</f>
        <v>Vía Panamericana, Km 15.21 B Estambul - B La Enea, Malteria, Tesorito, Manizales, Caldas</v>
      </c>
      <c r="G272">
        <v>29</v>
      </c>
      <c r="H272">
        <v>138132</v>
      </c>
      <c r="I272">
        <v>-75.428529999999995</v>
      </c>
      <c r="J272">
        <v>5.0392700000000001</v>
      </c>
      <c r="K272" t="s">
        <v>23</v>
      </c>
      <c r="L272" s="1">
        <v>44614</v>
      </c>
      <c r="M272" s="2" t="s">
        <v>712</v>
      </c>
      <c r="N272" t="s">
        <v>20</v>
      </c>
      <c r="O272" t="s">
        <v>21</v>
      </c>
      <c r="P272" t="s">
        <v>22</v>
      </c>
    </row>
    <row r="273" spans="1:16" x14ac:dyDescent="0.25">
      <c r="A273" t="s">
        <v>16</v>
      </c>
      <c r="B273" t="s">
        <v>17</v>
      </c>
      <c r="C273" t="s">
        <v>18</v>
      </c>
      <c r="D273" s="1">
        <v>44614</v>
      </c>
      <c r="E273" s="2" t="s">
        <v>713</v>
      </c>
      <c r="F273" s="3" t="str">
        <f>HYPERLINK("https://maps.google.com/maps?q=5.03758,-75.4266&amp;ll=5.03758,-75.4266&amp;z=14.75z","Vía Bogotá D.C. - Manizales, Km 78.38 Fresno - Manizales, Malteria, Tesorito, Manizales, Caldas")</f>
        <v>Vía Bogotá D.C. - Manizales, Km 78.38 Fresno - Manizales, Malteria, Tesorito, Manizales, Caldas</v>
      </c>
      <c r="G273">
        <v>12</v>
      </c>
      <c r="H273">
        <v>138133</v>
      </c>
      <c r="I273">
        <v>-75.426599999999993</v>
      </c>
      <c r="J273">
        <v>5.0375800000000002</v>
      </c>
      <c r="K273" t="s">
        <v>31</v>
      </c>
      <c r="L273" s="1">
        <v>44614</v>
      </c>
      <c r="M273" s="2" t="s">
        <v>713</v>
      </c>
      <c r="N273" t="s">
        <v>20</v>
      </c>
      <c r="O273" t="s">
        <v>21</v>
      </c>
      <c r="P273" t="s">
        <v>22</v>
      </c>
    </row>
    <row r="274" spans="1:16" x14ac:dyDescent="0.25">
      <c r="A274" t="s">
        <v>16</v>
      </c>
      <c r="B274" t="s">
        <v>17</v>
      </c>
      <c r="C274" t="s">
        <v>18</v>
      </c>
      <c r="D274" s="1">
        <v>44614</v>
      </c>
      <c r="E274" s="2" t="s">
        <v>714</v>
      </c>
      <c r="F274" s="3" t="str">
        <f>HYPERLINK("https://maps.google.com/maps?q=5.03773,-75.42422&amp;ll=5.03773,-75.42422&amp;z=14.75z","Vía Bogotá D.C. - Manizales, Km 77.95 Fresno - Manizales, , La Enea Parte, Manizales, Caldas")</f>
        <v>Vía Bogotá D.C. - Manizales, Km 77.95 Fresno - Manizales, , La Enea Parte, Manizales, Caldas</v>
      </c>
      <c r="G274">
        <v>25</v>
      </c>
      <c r="H274">
        <v>138133</v>
      </c>
      <c r="I274">
        <v>-75.424220000000005</v>
      </c>
      <c r="J274">
        <v>5.0377299999999998</v>
      </c>
      <c r="K274" t="s">
        <v>33</v>
      </c>
      <c r="L274" s="1">
        <v>44614</v>
      </c>
      <c r="M274" s="2" t="s">
        <v>714</v>
      </c>
      <c r="N274" t="s">
        <v>20</v>
      </c>
      <c r="O274" t="s">
        <v>21</v>
      </c>
      <c r="P274" t="s">
        <v>22</v>
      </c>
    </row>
    <row r="275" spans="1:16" x14ac:dyDescent="0.25">
      <c r="A275" t="s">
        <v>16</v>
      </c>
      <c r="B275" t="s">
        <v>17</v>
      </c>
      <c r="C275" t="s">
        <v>18</v>
      </c>
      <c r="D275" s="1">
        <v>44614</v>
      </c>
      <c r="E275" s="2" t="s">
        <v>714</v>
      </c>
      <c r="F275" s="3" t="str">
        <f>HYPERLINK("https://maps.google.com/maps?q=5.03492,-75.42486&amp;ll=5.03492,-75.42486&amp;z=14.75z","Vía Bogotá D.C. - Manizales, Km 77.44 Fresno - Manizales, , La Enea Parte, Manizales, Caldas")</f>
        <v>Vía Bogotá D.C. - Manizales, Km 77.44 Fresno - Manizales, , La Enea Parte, Manizales, Caldas</v>
      </c>
      <c r="G275">
        <v>34</v>
      </c>
      <c r="H275">
        <v>138134</v>
      </c>
      <c r="I275">
        <v>-75.424859999999995</v>
      </c>
      <c r="J275">
        <v>5.0349199999999996</v>
      </c>
      <c r="K275" t="s">
        <v>33</v>
      </c>
      <c r="L275" s="1">
        <v>44614</v>
      </c>
      <c r="M275" s="2" t="s">
        <v>715</v>
      </c>
      <c r="N275" t="s">
        <v>20</v>
      </c>
      <c r="O275" t="s">
        <v>21</v>
      </c>
      <c r="P275" t="s">
        <v>22</v>
      </c>
    </row>
    <row r="276" spans="1:16" x14ac:dyDescent="0.25">
      <c r="A276" t="s">
        <v>16</v>
      </c>
      <c r="B276" t="s">
        <v>17</v>
      </c>
      <c r="C276" t="s">
        <v>18</v>
      </c>
      <c r="D276" s="1">
        <v>44614</v>
      </c>
      <c r="E276" s="2" t="s">
        <v>715</v>
      </c>
      <c r="F276" s="3" t="str">
        <f>HYPERLINK("https://maps.google.com/maps?q=5.0343,-75.42107&amp;ll=5.0343,-75.42107&amp;z=14.75z","Vía Bogotá D.C. - Manizales, Km 76.98 Fresno - Manizales, , La Enea Parte, Manizales, Caldas")</f>
        <v>Vía Bogotá D.C. - Manizales, Km 76.98 Fresno - Manizales, , La Enea Parte, Manizales, Caldas</v>
      </c>
      <c r="G276">
        <v>32</v>
      </c>
      <c r="H276">
        <v>138134</v>
      </c>
      <c r="I276">
        <v>-75.42107</v>
      </c>
      <c r="J276">
        <v>5.0343</v>
      </c>
      <c r="K276" t="s">
        <v>24</v>
      </c>
      <c r="L276" s="1">
        <v>44614</v>
      </c>
      <c r="M276" s="2" t="s">
        <v>716</v>
      </c>
      <c r="N276" t="s">
        <v>20</v>
      </c>
      <c r="O276" t="s">
        <v>21</v>
      </c>
      <c r="P276" t="s">
        <v>22</v>
      </c>
    </row>
    <row r="277" spans="1:16" x14ac:dyDescent="0.25">
      <c r="A277" t="s">
        <v>16</v>
      </c>
      <c r="B277" t="s">
        <v>17</v>
      </c>
      <c r="C277" t="s">
        <v>18</v>
      </c>
      <c r="D277" s="1">
        <v>44614</v>
      </c>
      <c r="E277" s="2" t="s">
        <v>716</v>
      </c>
      <c r="F277" s="3" t="str">
        <f>HYPERLINK("https://maps.google.com/maps?q=5.03413,-75.41751&amp;ll=5.03413,-75.41751&amp;z=14.75z","Vía Bogotá D.C. - Manizales, Km 76.54 Fresno - Manizales, , La Enea Parte, Manizales, Caldas")</f>
        <v>Vía Bogotá D.C. - Manizales, Km 76.54 Fresno - Manizales, , La Enea Parte, Manizales, Caldas</v>
      </c>
      <c r="G277">
        <v>24</v>
      </c>
      <c r="H277">
        <v>138134</v>
      </c>
      <c r="I277">
        <v>-75.417509999999993</v>
      </c>
      <c r="J277">
        <v>5.0341300000000002</v>
      </c>
      <c r="K277" t="s">
        <v>41</v>
      </c>
      <c r="L277" s="1">
        <v>44614</v>
      </c>
      <c r="M277" s="2" t="s">
        <v>717</v>
      </c>
      <c r="N277" t="s">
        <v>20</v>
      </c>
      <c r="O277" t="s">
        <v>21</v>
      </c>
      <c r="P277" t="s">
        <v>22</v>
      </c>
    </row>
    <row r="278" spans="1:16" x14ac:dyDescent="0.25">
      <c r="A278" t="s">
        <v>16</v>
      </c>
      <c r="B278" t="s">
        <v>17</v>
      </c>
      <c r="C278" t="s">
        <v>27</v>
      </c>
      <c r="D278" s="1">
        <v>44614</v>
      </c>
      <c r="E278" s="2" t="s">
        <v>717</v>
      </c>
      <c r="F278" s="3" t="str">
        <f t="shared" ref="F278:F290" si="3">HYPERLINK("https://maps.google.com/maps?q=5.03369,-75.41702&amp;ll=5.03369,-75.41702&amp;z=14.75z","Vía Bogotá D.C. - Manizales, Km 76.46 Fresno - Manizales, , La Enea Parte, Manizales, Caldas")</f>
        <v>Vía Bogotá D.C. - Manizales, Km 76.46 Fresno - Manizales, , La Enea Parte, Manizales, Caldas</v>
      </c>
      <c r="G278">
        <v>27</v>
      </c>
      <c r="H278">
        <v>138135</v>
      </c>
      <c r="I278">
        <v>-75.417019999999994</v>
      </c>
      <c r="J278">
        <v>5.03369</v>
      </c>
      <c r="K278" t="s">
        <v>23</v>
      </c>
      <c r="L278" s="1">
        <v>44614</v>
      </c>
      <c r="M278" s="2" t="s">
        <v>717</v>
      </c>
      <c r="N278" t="s">
        <v>20</v>
      </c>
      <c r="O278" t="s">
        <v>21</v>
      </c>
      <c r="P278" t="s">
        <v>28</v>
      </c>
    </row>
    <row r="279" spans="1:16" x14ac:dyDescent="0.25">
      <c r="A279" t="s">
        <v>16</v>
      </c>
      <c r="B279" t="s">
        <v>17</v>
      </c>
      <c r="C279" t="s">
        <v>18</v>
      </c>
      <c r="D279" s="1">
        <v>44614</v>
      </c>
      <c r="E279" s="2" t="s">
        <v>718</v>
      </c>
      <c r="F279" s="3" t="str">
        <f t="shared" si="3"/>
        <v>Vía Bogotá D.C. - Manizales, Km 76.46 Fresno - Manizales, , La Enea Parte, Manizales, Caldas</v>
      </c>
      <c r="G279">
        <v>27</v>
      </c>
      <c r="H279">
        <v>138135</v>
      </c>
      <c r="I279">
        <v>-75.417019999999994</v>
      </c>
      <c r="J279">
        <v>5.03369</v>
      </c>
      <c r="K279" t="s">
        <v>23</v>
      </c>
      <c r="L279" s="1">
        <v>44614</v>
      </c>
      <c r="M279" s="2" t="s">
        <v>718</v>
      </c>
      <c r="N279" t="s">
        <v>20</v>
      </c>
      <c r="O279" t="s">
        <v>21</v>
      </c>
      <c r="P279" t="s">
        <v>28</v>
      </c>
    </row>
    <row r="280" spans="1:16" x14ac:dyDescent="0.25">
      <c r="A280" t="s">
        <v>16</v>
      </c>
      <c r="B280" t="s">
        <v>17</v>
      </c>
      <c r="C280" t="s">
        <v>18</v>
      </c>
      <c r="D280" s="1">
        <v>44614</v>
      </c>
      <c r="E280" s="2" t="s">
        <v>719</v>
      </c>
      <c r="F280" s="3" t="str">
        <f t="shared" si="3"/>
        <v>Vía Bogotá D.C. - Manizales, Km 76.46 Fresno - Manizales, , La Enea Parte, Manizales, Caldas</v>
      </c>
      <c r="G280">
        <v>27</v>
      </c>
      <c r="H280">
        <v>138135</v>
      </c>
      <c r="I280">
        <v>-75.417019999999994</v>
      </c>
      <c r="J280">
        <v>5.03369</v>
      </c>
      <c r="K280" t="s">
        <v>23</v>
      </c>
      <c r="L280" s="1">
        <v>44614</v>
      </c>
      <c r="M280" s="2" t="s">
        <v>719</v>
      </c>
      <c r="N280" t="s">
        <v>20</v>
      </c>
      <c r="O280" t="s">
        <v>21</v>
      </c>
      <c r="P280" t="s">
        <v>28</v>
      </c>
    </row>
    <row r="281" spans="1:16" x14ac:dyDescent="0.25">
      <c r="A281" t="s">
        <v>16</v>
      </c>
      <c r="B281" t="s">
        <v>17</v>
      </c>
      <c r="C281" t="s">
        <v>18</v>
      </c>
      <c r="D281" s="1">
        <v>44614</v>
      </c>
      <c r="E281" s="2" t="s">
        <v>719</v>
      </c>
      <c r="F281" s="3" t="str">
        <f t="shared" si="3"/>
        <v>Vía Bogotá D.C. - Manizales, Km 76.46 Fresno - Manizales, , La Enea Parte, Manizales, Caldas</v>
      </c>
      <c r="G281">
        <v>27</v>
      </c>
      <c r="H281">
        <v>138135</v>
      </c>
      <c r="I281">
        <v>-75.417019999999994</v>
      </c>
      <c r="J281">
        <v>5.03369</v>
      </c>
      <c r="K281" t="s">
        <v>23</v>
      </c>
      <c r="L281" s="1">
        <v>44614</v>
      </c>
      <c r="M281" s="2" t="s">
        <v>343</v>
      </c>
      <c r="N281" t="s">
        <v>20</v>
      </c>
      <c r="O281" t="s">
        <v>21</v>
      </c>
      <c r="P281" t="s">
        <v>28</v>
      </c>
    </row>
    <row r="282" spans="1:16" x14ac:dyDescent="0.25">
      <c r="A282" t="s">
        <v>16</v>
      </c>
      <c r="B282" t="s">
        <v>17</v>
      </c>
      <c r="C282" t="s">
        <v>18</v>
      </c>
      <c r="D282" s="1">
        <v>44614</v>
      </c>
      <c r="E282" s="2" t="s">
        <v>343</v>
      </c>
      <c r="F282" s="3" t="str">
        <f t="shared" si="3"/>
        <v>Vía Bogotá D.C. - Manizales, Km 76.46 Fresno - Manizales, , La Enea Parte, Manizales, Caldas</v>
      </c>
      <c r="G282">
        <v>27</v>
      </c>
      <c r="H282">
        <v>138135</v>
      </c>
      <c r="I282">
        <v>-75.417019999999994</v>
      </c>
      <c r="J282">
        <v>5.03369</v>
      </c>
      <c r="K282" t="s">
        <v>23</v>
      </c>
      <c r="L282" s="1">
        <v>44614</v>
      </c>
      <c r="M282" s="2" t="s">
        <v>343</v>
      </c>
      <c r="N282" t="s">
        <v>20</v>
      </c>
      <c r="O282" t="s">
        <v>21</v>
      </c>
      <c r="P282" t="s">
        <v>28</v>
      </c>
    </row>
    <row r="283" spans="1:16" x14ac:dyDescent="0.25">
      <c r="A283" t="s">
        <v>16</v>
      </c>
      <c r="B283" t="s">
        <v>17</v>
      </c>
      <c r="C283" t="s">
        <v>18</v>
      </c>
      <c r="D283" s="1">
        <v>44614</v>
      </c>
      <c r="E283" s="2" t="s">
        <v>344</v>
      </c>
      <c r="F283" s="3" t="str">
        <f t="shared" si="3"/>
        <v>Vía Bogotá D.C. - Manizales, Km 76.46 Fresno - Manizales, , La Enea Parte, Manizales, Caldas</v>
      </c>
      <c r="G283">
        <v>27</v>
      </c>
      <c r="H283">
        <v>138135</v>
      </c>
      <c r="I283">
        <v>-75.417019999999994</v>
      </c>
      <c r="J283">
        <v>5.03369</v>
      </c>
      <c r="K283" t="s">
        <v>23</v>
      </c>
      <c r="L283" s="1">
        <v>44614</v>
      </c>
      <c r="M283" s="2" t="s">
        <v>344</v>
      </c>
      <c r="N283" t="s">
        <v>20</v>
      </c>
      <c r="O283" t="s">
        <v>21</v>
      </c>
      <c r="P283" t="s">
        <v>28</v>
      </c>
    </row>
    <row r="284" spans="1:16" x14ac:dyDescent="0.25">
      <c r="A284" t="s">
        <v>16</v>
      </c>
      <c r="B284" t="s">
        <v>17</v>
      </c>
      <c r="C284" t="s">
        <v>18</v>
      </c>
      <c r="D284" s="1">
        <v>44614</v>
      </c>
      <c r="E284" s="2" t="s">
        <v>720</v>
      </c>
      <c r="F284" s="3" t="str">
        <f t="shared" si="3"/>
        <v>Vía Bogotá D.C. - Manizales, Km 76.46 Fresno - Manizales, , La Enea Parte, Manizales, Caldas</v>
      </c>
      <c r="G284">
        <v>27</v>
      </c>
      <c r="H284">
        <v>138135</v>
      </c>
      <c r="I284">
        <v>-75.417019999999994</v>
      </c>
      <c r="J284">
        <v>5.03369</v>
      </c>
      <c r="K284" t="s">
        <v>23</v>
      </c>
      <c r="L284" s="1">
        <v>44614</v>
      </c>
      <c r="M284" s="2" t="s">
        <v>720</v>
      </c>
      <c r="N284" t="s">
        <v>20</v>
      </c>
      <c r="O284" t="s">
        <v>21</v>
      </c>
      <c r="P284" t="s">
        <v>28</v>
      </c>
    </row>
    <row r="285" spans="1:16" x14ac:dyDescent="0.25">
      <c r="A285" t="s">
        <v>16</v>
      </c>
      <c r="B285" t="s">
        <v>17</v>
      </c>
      <c r="C285" t="s">
        <v>18</v>
      </c>
      <c r="D285" s="1">
        <v>44614</v>
      </c>
      <c r="E285" s="2" t="s">
        <v>279</v>
      </c>
      <c r="F285" s="3" t="str">
        <f t="shared" si="3"/>
        <v>Vía Bogotá D.C. - Manizales, Km 76.46 Fresno - Manizales, , La Enea Parte, Manizales, Caldas</v>
      </c>
      <c r="G285">
        <v>27</v>
      </c>
      <c r="H285">
        <v>138135</v>
      </c>
      <c r="I285">
        <v>-75.417019999999994</v>
      </c>
      <c r="J285">
        <v>5.03369</v>
      </c>
      <c r="K285" t="s">
        <v>23</v>
      </c>
      <c r="L285" s="1">
        <v>44614</v>
      </c>
      <c r="M285" s="2" t="s">
        <v>721</v>
      </c>
      <c r="N285" t="s">
        <v>20</v>
      </c>
      <c r="O285" t="s">
        <v>21</v>
      </c>
      <c r="P285" t="s">
        <v>28</v>
      </c>
    </row>
    <row r="286" spans="1:16" x14ac:dyDescent="0.25">
      <c r="A286" t="s">
        <v>16</v>
      </c>
      <c r="B286" t="s">
        <v>17</v>
      </c>
      <c r="C286" t="s">
        <v>18</v>
      </c>
      <c r="D286" s="1">
        <v>44614</v>
      </c>
      <c r="E286" s="2" t="s">
        <v>279</v>
      </c>
      <c r="F286" s="3" t="str">
        <f t="shared" si="3"/>
        <v>Vía Bogotá D.C. - Manizales, Km 76.46 Fresno - Manizales, , La Enea Parte, Manizales, Caldas</v>
      </c>
      <c r="G286">
        <v>27</v>
      </c>
      <c r="H286">
        <v>138135</v>
      </c>
      <c r="I286">
        <v>-75.417019999999994</v>
      </c>
      <c r="J286">
        <v>5.03369</v>
      </c>
      <c r="K286" t="s">
        <v>23</v>
      </c>
      <c r="L286" s="1">
        <v>44614</v>
      </c>
      <c r="M286" s="2" t="s">
        <v>721</v>
      </c>
      <c r="N286" t="s">
        <v>20</v>
      </c>
      <c r="O286" t="s">
        <v>21</v>
      </c>
      <c r="P286" t="s">
        <v>28</v>
      </c>
    </row>
    <row r="287" spans="1:16" x14ac:dyDescent="0.25">
      <c r="A287" t="s">
        <v>16</v>
      </c>
      <c r="B287" t="s">
        <v>17</v>
      </c>
      <c r="C287" t="s">
        <v>18</v>
      </c>
      <c r="D287" s="1">
        <v>44614</v>
      </c>
      <c r="E287" s="2" t="s">
        <v>279</v>
      </c>
      <c r="F287" s="3" t="str">
        <f t="shared" si="3"/>
        <v>Vía Bogotá D.C. - Manizales, Km 76.46 Fresno - Manizales, , La Enea Parte, Manizales, Caldas</v>
      </c>
      <c r="G287">
        <v>27</v>
      </c>
      <c r="H287">
        <v>138135</v>
      </c>
      <c r="I287">
        <v>-75.417019999999994</v>
      </c>
      <c r="J287">
        <v>5.03369</v>
      </c>
      <c r="K287" t="s">
        <v>23</v>
      </c>
      <c r="L287" s="1">
        <v>44614</v>
      </c>
      <c r="M287" s="2" t="s">
        <v>279</v>
      </c>
      <c r="N287" t="s">
        <v>20</v>
      </c>
      <c r="O287" t="s">
        <v>21</v>
      </c>
      <c r="P287" t="s">
        <v>28</v>
      </c>
    </row>
    <row r="288" spans="1:16" x14ac:dyDescent="0.25">
      <c r="A288" t="s">
        <v>16</v>
      </c>
      <c r="B288" t="s">
        <v>17</v>
      </c>
      <c r="C288" t="s">
        <v>18</v>
      </c>
      <c r="D288" s="1">
        <v>44614</v>
      </c>
      <c r="E288" s="2" t="s">
        <v>721</v>
      </c>
      <c r="F288" s="3" t="str">
        <f t="shared" si="3"/>
        <v>Vía Bogotá D.C. - Manizales, Km 76.46 Fresno - Manizales, , La Enea Parte, Manizales, Caldas</v>
      </c>
      <c r="G288">
        <v>27</v>
      </c>
      <c r="H288">
        <v>138135</v>
      </c>
      <c r="I288">
        <v>-75.417019999999994</v>
      </c>
      <c r="J288">
        <v>5.03369</v>
      </c>
      <c r="K288" t="s">
        <v>23</v>
      </c>
      <c r="L288" s="1">
        <v>44614</v>
      </c>
      <c r="M288" s="2" t="s">
        <v>721</v>
      </c>
      <c r="N288" t="s">
        <v>20</v>
      </c>
      <c r="O288" t="s">
        <v>21</v>
      </c>
      <c r="P288" t="s">
        <v>28</v>
      </c>
    </row>
    <row r="289" spans="1:16" x14ac:dyDescent="0.25">
      <c r="A289" t="s">
        <v>16</v>
      </c>
      <c r="B289" t="s">
        <v>17</v>
      </c>
      <c r="C289" t="s">
        <v>18</v>
      </c>
      <c r="D289" s="1">
        <v>44614</v>
      </c>
      <c r="E289" s="2" t="s">
        <v>722</v>
      </c>
      <c r="F289" s="3" t="str">
        <f t="shared" si="3"/>
        <v>Vía Bogotá D.C. - Manizales, Km 76.46 Fresno - Manizales, , La Enea Parte, Manizales, Caldas</v>
      </c>
      <c r="G289">
        <v>27</v>
      </c>
      <c r="H289">
        <v>138135</v>
      </c>
      <c r="I289">
        <v>-75.417019999999994</v>
      </c>
      <c r="J289">
        <v>5.03369</v>
      </c>
      <c r="K289" t="s">
        <v>23</v>
      </c>
      <c r="L289" s="1">
        <v>44614</v>
      </c>
      <c r="M289" s="2" t="s">
        <v>722</v>
      </c>
      <c r="N289" t="s">
        <v>20</v>
      </c>
      <c r="O289" t="s">
        <v>21</v>
      </c>
      <c r="P289" t="s">
        <v>28</v>
      </c>
    </row>
    <row r="290" spans="1:16" x14ac:dyDescent="0.25">
      <c r="A290" t="s">
        <v>16</v>
      </c>
      <c r="B290" t="s">
        <v>17</v>
      </c>
      <c r="C290" t="s">
        <v>18</v>
      </c>
      <c r="D290" s="1">
        <v>44614</v>
      </c>
      <c r="E290" s="2" t="s">
        <v>723</v>
      </c>
      <c r="F290" s="3" t="str">
        <f t="shared" si="3"/>
        <v>Vía Bogotá D.C. - Manizales, Km 76.46 Fresno - Manizales, , La Enea Parte, Manizales, Caldas</v>
      </c>
      <c r="G290">
        <v>27</v>
      </c>
      <c r="H290">
        <v>138135</v>
      </c>
      <c r="I290">
        <v>-75.417019999999994</v>
      </c>
      <c r="J290">
        <v>5.03369</v>
      </c>
      <c r="K290" t="s">
        <v>23</v>
      </c>
      <c r="L290" s="1">
        <v>44614</v>
      </c>
      <c r="M290" s="2" t="s">
        <v>723</v>
      </c>
      <c r="N290" t="s">
        <v>20</v>
      </c>
      <c r="O290" t="s">
        <v>21</v>
      </c>
      <c r="P290" t="s">
        <v>28</v>
      </c>
    </row>
    <row r="291" spans="1:16" x14ac:dyDescent="0.25">
      <c r="A291" t="s">
        <v>16</v>
      </c>
      <c r="B291" t="s">
        <v>17</v>
      </c>
      <c r="C291" t="s">
        <v>18</v>
      </c>
      <c r="D291" s="1">
        <v>44614</v>
      </c>
      <c r="E291" s="2" t="s">
        <v>724</v>
      </c>
      <c r="F291" s="3" t="str">
        <f>HYPERLINK("https://maps.google.com/maps?q=5.02693,-75.39155&amp;ll=5.02693,-75.39155&amp;z=14.75z","Vía Bogotá D.C. - Manizales, Km 71.4 Fresno - Manizales, , La Enea Parte, Manizales, Caldas")</f>
        <v>Vía Bogotá D.C. - Manizales, Km 71.4 Fresno - Manizales, , La Enea Parte, Manizales, Caldas</v>
      </c>
      <c r="G291">
        <v>22</v>
      </c>
      <c r="H291">
        <v>138138</v>
      </c>
      <c r="I291">
        <v>-75.391549999999995</v>
      </c>
      <c r="J291">
        <v>5.0269300000000001</v>
      </c>
      <c r="K291" t="s">
        <v>24</v>
      </c>
      <c r="L291" s="1">
        <v>44614</v>
      </c>
      <c r="M291" s="2" t="s">
        <v>724</v>
      </c>
      <c r="N291" t="s">
        <v>20</v>
      </c>
      <c r="O291" t="s">
        <v>21</v>
      </c>
      <c r="P291" t="s">
        <v>22</v>
      </c>
    </row>
    <row r="292" spans="1:16" x14ac:dyDescent="0.25">
      <c r="A292" t="s">
        <v>16</v>
      </c>
      <c r="B292" t="s">
        <v>17</v>
      </c>
      <c r="C292" t="s">
        <v>18</v>
      </c>
      <c r="D292" s="1">
        <v>44614</v>
      </c>
      <c r="E292" s="2" t="s">
        <v>725</v>
      </c>
      <c r="F292" s="3" t="str">
        <f>HYPERLINK("https://maps.google.com/maps?q=5.02759,-75.38955&amp;ll=5.02759,-75.38955&amp;z=14.75z","Vía Bogotá D.C. - Manizales, Km 71.01 Fresno - Manizales, , La Enea Parte, Manizales, Caldas")</f>
        <v>Vía Bogotá D.C. - Manizales, Km 71.01 Fresno - Manizales, , La Enea Parte, Manizales, Caldas</v>
      </c>
      <c r="G292">
        <v>26</v>
      </c>
      <c r="H292">
        <v>138138</v>
      </c>
      <c r="I292">
        <v>-75.38955</v>
      </c>
      <c r="J292">
        <v>5.02759</v>
      </c>
      <c r="K292" t="s">
        <v>24</v>
      </c>
      <c r="L292" s="1">
        <v>44614</v>
      </c>
      <c r="M292" s="2" t="s">
        <v>725</v>
      </c>
      <c r="N292" t="s">
        <v>20</v>
      </c>
      <c r="O292" t="s">
        <v>21</v>
      </c>
      <c r="P292" t="s">
        <v>22</v>
      </c>
    </row>
    <row r="293" spans="1:16" x14ac:dyDescent="0.25">
      <c r="A293" t="s">
        <v>16</v>
      </c>
      <c r="B293" t="s">
        <v>17</v>
      </c>
      <c r="C293" t="s">
        <v>18</v>
      </c>
      <c r="D293" s="1">
        <v>44614</v>
      </c>
      <c r="E293" s="2" t="s">
        <v>726</v>
      </c>
      <c r="F293" s="3" t="str">
        <f>HYPERLINK("https://maps.google.com/maps?q=5.02777,-75.38678&amp;ll=5.02777,-75.38678&amp;z=14.75z","Vía Bogotá D.C. - Manizales, Km 70.49 Fresno - Manizales, , La Esperanza, Manizales, Caldas")</f>
        <v>Vía Bogotá D.C. - Manizales, Km 70.49 Fresno - Manizales, , La Esperanza, Manizales, Caldas</v>
      </c>
      <c r="G293">
        <v>30</v>
      </c>
      <c r="H293">
        <v>138138</v>
      </c>
      <c r="I293">
        <v>-75.386780000000002</v>
      </c>
      <c r="J293">
        <v>5.0277700000000003</v>
      </c>
      <c r="K293" t="s">
        <v>30</v>
      </c>
      <c r="L293" s="1">
        <v>44614</v>
      </c>
      <c r="M293" s="2" t="s">
        <v>726</v>
      </c>
      <c r="N293" t="s">
        <v>20</v>
      </c>
      <c r="O293" t="s">
        <v>21</v>
      </c>
      <c r="P293" t="s">
        <v>22</v>
      </c>
    </row>
    <row r="294" spans="1:16" x14ac:dyDescent="0.25">
      <c r="A294" t="s">
        <v>16</v>
      </c>
      <c r="B294" t="s">
        <v>17</v>
      </c>
      <c r="C294" t="s">
        <v>18</v>
      </c>
      <c r="D294" s="1">
        <v>44614</v>
      </c>
      <c r="E294" s="2" t="s">
        <v>727</v>
      </c>
      <c r="F294" s="3" t="str">
        <f>HYPERLINK("https://maps.google.com/maps?q=5.02787,-75.38547&amp;ll=5.02787,-75.38547&amp;z=14.75z","Vía Bogotá D.C. - Manizales, Km 69.97 Fresno - Manizales, , La Esperanza, Manizales, Caldas")</f>
        <v>Vía Bogotá D.C. - Manizales, Km 69.97 Fresno - Manizales, , La Esperanza, Manizales, Caldas</v>
      </c>
      <c r="G294">
        <v>29</v>
      </c>
      <c r="H294">
        <v>138139</v>
      </c>
      <c r="I294">
        <v>-75.385469999999998</v>
      </c>
      <c r="J294">
        <v>5.0278700000000001</v>
      </c>
      <c r="K294" t="s">
        <v>24</v>
      </c>
      <c r="L294" s="1">
        <v>44614</v>
      </c>
      <c r="M294" s="2" t="s">
        <v>728</v>
      </c>
      <c r="N294" t="s">
        <v>20</v>
      </c>
      <c r="O294" t="s">
        <v>21</v>
      </c>
      <c r="P294" t="s">
        <v>22</v>
      </c>
    </row>
    <row r="295" spans="1:16" x14ac:dyDescent="0.25">
      <c r="A295" t="s">
        <v>16</v>
      </c>
      <c r="B295" t="s">
        <v>17</v>
      </c>
      <c r="C295" t="s">
        <v>18</v>
      </c>
      <c r="D295" s="1">
        <v>44614</v>
      </c>
      <c r="E295" s="2" t="s">
        <v>728</v>
      </c>
      <c r="F295" s="3" t="str">
        <f>HYPERLINK("https://maps.google.com/maps?q=5.02924,-75.38481&amp;ll=5.02924,-75.38481&amp;z=14.75z","Vía Bogotá D.C. - Manizales, Km 69.81 Fresno - Manizales, , La Esperanza, Manizales, Caldas")</f>
        <v>Vía Bogotá D.C. - Manizales, Km 69.81 Fresno - Manizales, , La Esperanza, Manizales, Caldas</v>
      </c>
      <c r="G295">
        <v>22</v>
      </c>
      <c r="H295">
        <v>138139</v>
      </c>
      <c r="I295">
        <v>-75.384810000000002</v>
      </c>
      <c r="J295">
        <v>5.0292399999999997</v>
      </c>
      <c r="K295" t="s">
        <v>24</v>
      </c>
      <c r="L295" s="1">
        <v>44614</v>
      </c>
      <c r="M295" s="2" t="s">
        <v>728</v>
      </c>
      <c r="N295" t="s">
        <v>20</v>
      </c>
      <c r="O295" t="s">
        <v>21</v>
      </c>
      <c r="P295" t="s">
        <v>22</v>
      </c>
    </row>
    <row r="296" spans="1:16" x14ac:dyDescent="0.25">
      <c r="A296" t="s">
        <v>16</v>
      </c>
      <c r="B296" t="s">
        <v>17</v>
      </c>
      <c r="C296" t="s">
        <v>18</v>
      </c>
      <c r="D296" s="1">
        <v>44614</v>
      </c>
      <c r="E296" s="2" t="s">
        <v>729</v>
      </c>
      <c r="F296" s="3" t="str">
        <f>HYPERLINK("https://maps.google.com/maps?q=5.03166,-75.37885&amp;ll=5.03166,-75.37885&amp;z=14.75z","Vía Bogotá D.C. - Manizales, Km 69 Fresno - Manizales, , La Esperanza, Manizales, Caldas")</f>
        <v>Vía Bogotá D.C. - Manizales, Km 69 Fresno - Manizales, , La Esperanza, Manizales, Caldas</v>
      </c>
      <c r="G296">
        <v>30</v>
      </c>
      <c r="H296">
        <v>138140</v>
      </c>
      <c r="I296">
        <v>-75.37885</v>
      </c>
      <c r="J296">
        <v>5.0316599999999996</v>
      </c>
      <c r="K296" t="s">
        <v>24</v>
      </c>
      <c r="L296" s="1">
        <v>44614</v>
      </c>
      <c r="M296" s="2" t="s">
        <v>729</v>
      </c>
      <c r="N296" t="s">
        <v>20</v>
      </c>
      <c r="O296" t="s">
        <v>21</v>
      </c>
      <c r="P296" t="s">
        <v>22</v>
      </c>
    </row>
    <row r="297" spans="1:16" x14ac:dyDescent="0.25">
      <c r="A297" t="s">
        <v>16</v>
      </c>
      <c r="B297" t="s">
        <v>17</v>
      </c>
      <c r="C297" t="s">
        <v>18</v>
      </c>
      <c r="D297" s="1">
        <v>44614</v>
      </c>
      <c r="E297" s="2" t="s">
        <v>730</v>
      </c>
      <c r="F297" s="3" t="str">
        <f>HYPERLINK("https://maps.google.com/maps?q=5.032,-75.37744&amp;ll=5.032,-75.37744&amp;z=14.75z","Vía Bogotá D.C. - Manizales, Km 68.58 Fresno - Manizales, , La Esperanza, Manizales, Caldas")</f>
        <v>Vía Bogotá D.C. - Manizales, Km 68.58 Fresno - Manizales, , La Esperanza, Manizales, Caldas</v>
      </c>
      <c r="G297">
        <v>25</v>
      </c>
      <c r="H297">
        <v>138140</v>
      </c>
      <c r="I297">
        <v>-75.377440000000007</v>
      </c>
      <c r="J297">
        <v>5.032</v>
      </c>
      <c r="K297" t="s">
        <v>31</v>
      </c>
      <c r="L297" s="1">
        <v>44614</v>
      </c>
      <c r="M297" s="2" t="s">
        <v>730</v>
      </c>
      <c r="N297" t="s">
        <v>20</v>
      </c>
      <c r="O297" t="s">
        <v>21</v>
      </c>
      <c r="P297" t="s">
        <v>22</v>
      </c>
    </row>
    <row r="298" spans="1:16" x14ac:dyDescent="0.25">
      <c r="A298" t="s">
        <v>16</v>
      </c>
      <c r="B298" t="s">
        <v>17</v>
      </c>
      <c r="C298" t="s">
        <v>18</v>
      </c>
      <c r="D298" s="1">
        <v>44614</v>
      </c>
      <c r="E298" s="2" t="s">
        <v>306</v>
      </c>
      <c r="F298" s="3" t="str">
        <f>HYPERLINK("https://maps.google.com/maps?q=5.03056,-75.37262&amp;ll=5.03056,-75.37262&amp;z=14.75z","Vía Bogotá D.C. - Manizales, Km 67.64 Fresno - Manizales, , La Esperanza, Manizales, Caldas")</f>
        <v>Vía Bogotá D.C. - Manizales, Km 67.64 Fresno - Manizales, , La Esperanza, Manizales, Caldas</v>
      </c>
      <c r="G298">
        <v>23</v>
      </c>
      <c r="H298">
        <v>138141</v>
      </c>
      <c r="I298">
        <v>-75.372619999999998</v>
      </c>
      <c r="J298">
        <v>5.0305600000000004</v>
      </c>
      <c r="K298" t="s">
        <v>29</v>
      </c>
      <c r="L298" s="1">
        <v>44614</v>
      </c>
      <c r="M298" s="2" t="s">
        <v>731</v>
      </c>
      <c r="N298" t="s">
        <v>20</v>
      </c>
      <c r="O298" t="s">
        <v>21</v>
      </c>
      <c r="P298" t="s">
        <v>22</v>
      </c>
    </row>
    <row r="299" spans="1:16" x14ac:dyDescent="0.25">
      <c r="A299" t="s">
        <v>16</v>
      </c>
      <c r="B299" t="s">
        <v>17</v>
      </c>
      <c r="C299" t="s">
        <v>18</v>
      </c>
      <c r="D299" s="1">
        <v>44614</v>
      </c>
      <c r="E299" s="2" t="s">
        <v>731</v>
      </c>
      <c r="F299" s="3" t="str">
        <f>HYPERLINK("https://maps.google.com/maps?q=5.02868,-75.37331&amp;ll=5.02868,-75.37331&amp;z=14.75z","Vía Bogotá D.C. - Manizales, Km 67.24 Fresno - Manizales, , La Esperanza, Manizales, Caldas")</f>
        <v>Vía Bogotá D.C. - Manizales, Km 67.24 Fresno - Manizales, , La Esperanza, Manizales, Caldas</v>
      </c>
      <c r="G299">
        <v>24</v>
      </c>
      <c r="H299">
        <v>138141</v>
      </c>
      <c r="I299">
        <v>-75.373310000000004</v>
      </c>
      <c r="J299">
        <v>5.0286799999999996</v>
      </c>
      <c r="K299" t="s">
        <v>29</v>
      </c>
      <c r="L299" s="1">
        <v>44614</v>
      </c>
      <c r="M299" s="2" t="s">
        <v>731</v>
      </c>
      <c r="N299" t="s">
        <v>20</v>
      </c>
      <c r="O299" t="s">
        <v>21</v>
      </c>
      <c r="P299" t="s">
        <v>22</v>
      </c>
    </row>
    <row r="300" spans="1:16" x14ac:dyDescent="0.25">
      <c r="A300" t="s">
        <v>16</v>
      </c>
      <c r="B300" t="s">
        <v>17</v>
      </c>
      <c r="C300" t="s">
        <v>18</v>
      </c>
      <c r="D300" s="1">
        <v>44614</v>
      </c>
      <c r="E300" s="2" t="s">
        <v>732</v>
      </c>
      <c r="F300" s="3" t="str">
        <f>HYPERLINK("https://maps.google.com/maps?q=5.02652,-75.37547&amp;ll=5.02652,-75.37547&amp;z=14.75z","Vía Bogotá D.C. - Manizales, Km 66.79 Fresno - Manizales, , La Esperanza, Manizales, Caldas")</f>
        <v>Vía Bogotá D.C. - Manizales, Km 66.79 Fresno - Manizales, , La Esperanza, Manizales, Caldas</v>
      </c>
      <c r="G300">
        <v>22</v>
      </c>
      <c r="H300">
        <v>138142</v>
      </c>
      <c r="I300">
        <v>-75.375470000000007</v>
      </c>
      <c r="J300">
        <v>5.0265199999999997</v>
      </c>
      <c r="K300" t="s">
        <v>41</v>
      </c>
      <c r="L300" s="1">
        <v>44614</v>
      </c>
      <c r="M300" s="2" t="s">
        <v>732</v>
      </c>
      <c r="N300" t="s">
        <v>20</v>
      </c>
      <c r="O300" t="s">
        <v>21</v>
      </c>
      <c r="P300" t="s">
        <v>22</v>
      </c>
    </row>
    <row r="301" spans="1:16" x14ac:dyDescent="0.25">
      <c r="A301" t="s">
        <v>16</v>
      </c>
      <c r="B301" t="s">
        <v>17</v>
      </c>
      <c r="C301" t="s">
        <v>18</v>
      </c>
      <c r="D301" s="1">
        <v>44614</v>
      </c>
      <c r="E301" s="2" t="s">
        <v>733</v>
      </c>
      <c r="F301" s="3" t="str">
        <f>HYPERLINK("https://maps.google.com/maps?q=5.02586,-75.37159&amp;ll=5.02586,-75.37159&amp;z=14.75z","Vía Bogotá D.C. - Manizales, Km 66.35 Fresno - Manizales, , La Esperanza, Manizales, Caldas")</f>
        <v>Vía Bogotá D.C. - Manizales, Km 66.35 Fresno - Manizales, , La Esperanza, Manizales, Caldas</v>
      </c>
      <c r="G301">
        <v>29</v>
      </c>
      <c r="H301">
        <v>138142</v>
      </c>
      <c r="I301">
        <v>-75.371589999999998</v>
      </c>
      <c r="J301">
        <v>5.0258599999999998</v>
      </c>
      <c r="K301" t="s">
        <v>33</v>
      </c>
      <c r="L301" s="1">
        <v>44614</v>
      </c>
      <c r="M301" s="2" t="s">
        <v>733</v>
      </c>
      <c r="N301" t="s">
        <v>20</v>
      </c>
      <c r="O301" t="s">
        <v>21</v>
      </c>
      <c r="P301" t="s">
        <v>22</v>
      </c>
    </row>
    <row r="302" spans="1:16" x14ac:dyDescent="0.25">
      <c r="A302" t="s">
        <v>16</v>
      </c>
      <c r="B302" t="s">
        <v>17</v>
      </c>
      <c r="C302" t="s">
        <v>18</v>
      </c>
      <c r="D302" s="1">
        <v>44614</v>
      </c>
      <c r="E302" s="2" t="s">
        <v>734</v>
      </c>
      <c r="F302" s="3" t="str">
        <f>HYPERLINK("https://maps.google.com/maps?q=5.02512,-75.36929&amp;ll=5.02512,-75.36929&amp;z=14.75z","Vía Bogotá D.C. - Manizales, Km 65.86 Fresno - Manizales, , La Esperanza, Manizales, Caldas")</f>
        <v>Vía Bogotá D.C. - Manizales, Km 65.86 Fresno - Manizales, , La Esperanza, Manizales, Caldas</v>
      </c>
      <c r="G302">
        <v>30</v>
      </c>
      <c r="H302">
        <v>138143</v>
      </c>
      <c r="I302">
        <v>-75.369290000000007</v>
      </c>
      <c r="J302">
        <v>5.0251200000000003</v>
      </c>
      <c r="K302" t="s">
        <v>29</v>
      </c>
      <c r="L302" s="1">
        <v>44614</v>
      </c>
      <c r="M302" s="2" t="s">
        <v>734</v>
      </c>
      <c r="N302" t="s">
        <v>20</v>
      </c>
      <c r="O302" t="s">
        <v>21</v>
      </c>
      <c r="P302" t="s">
        <v>22</v>
      </c>
    </row>
    <row r="303" spans="1:16" x14ac:dyDescent="0.25">
      <c r="A303" t="s">
        <v>16</v>
      </c>
      <c r="B303" t="s">
        <v>17</v>
      </c>
      <c r="C303" t="s">
        <v>18</v>
      </c>
      <c r="D303" s="1">
        <v>44614</v>
      </c>
      <c r="E303" s="2" t="s">
        <v>735</v>
      </c>
      <c r="F303" s="3" t="str">
        <f>HYPERLINK("https://maps.google.com/maps?q=5.02265,-75.36971&amp;ll=5.02265,-75.36971&amp;z=14.75z","Vía Bogotá D.C. - Manizales, Km 65.44 Fresno - Manizales, , La Esperanza, Manizales, Caldas")</f>
        <v>Vía Bogotá D.C. - Manizales, Km 65.44 Fresno - Manizales, , La Esperanza, Manizales, Caldas</v>
      </c>
      <c r="G303">
        <v>20</v>
      </c>
      <c r="H303">
        <v>138143</v>
      </c>
      <c r="I303">
        <v>-75.369709999999998</v>
      </c>
      <c r="J303">
        <v>5.0226499999999996</v>
      </c>
      <c r="K303" t="s">
        <v>33</v>
      </c>
      <c r="L303" s="1">
        <v>44614</v>
      </c>
      <c r="M303" s="2" t="s">
        <v>735</v>
      </c>
      <c r="N303" t="s">
        <v>20</v>
      </c>
      <c r="O303" t="s">
        <v>21</v>
      </c>
      <c r="P303" t="s">
        <v>22</v>
      </c>
    </row>
    <row r="304" spans="1:16" x14ac:dyDescent="0.25">
      <c r="A304" t="s">
        <v>16</v>
      </c>
      <c r="B304" t="s">
        <v>17</v>
      </c>
      <c r="C304" t="s">
        <v>18</v>
      </c>
      <c r="D304" s="1">
        <v>44614</v>
      </c>
      <c r="E304" s="2" t="s">
        <v>345</v>
      </c>
      <c r="F304" s="3" t="str">
        <f>HYPERLINK("https://maps.google.com/maps?q=5.02182,-75.36768&amp;ll=5.02182,-75.36768&amp;z=14.75z","Vía Bogotá D.C. - Manizales, Km 64.99 Fresno - Manizales, , La Esperanza, Manizales, Caldas")</f>
        <v>Vía Bogotá D.C. - Manizales, Km 64.99 Fresno - Manizales, , La Esperanza, Manizales, Caldas</v>
      </c>
      <c r="G304">
        <v>27</v>
      </c>
      <c r="H304">
        <v>138144</v>
      </c>
      <c r="I304">
        <v>-75.367679999999993</v>
      </c>
      <c r="J304">
        <v>5.02182</v>
      </c>
      <c r="K304" t="s">
        <v>31</v>
      </c>
      <c r="L304" s="1">
        <v>44614</v>
      </c>
      <c r="M304" s="2" t="s">
        <v>345</v>
      </c>
      <c r="N304" t="s">
        <v>20</v>
      </c>
      <c r="O304" t="s">
        <v>21</v>
      </c>
      <c r="P304" t="s">
        <v>22</v>
      </c>
    </row>
    <row r="305" spans="1:16" x14ac:dyDescent="0.25">
      <c r="A305" t="s">
        <v>16</v>
      </c>
      <c r="B305" t="s">
        <v>17</v>
      </c>
      <c r="C305" t="s">
        <v>18</v>
      </c>
      <c r="D305" s="1">
        <v>44614</v>
      </c>
      <c r="E305" s="2" t="s">
        <v>736</v>
      </c>
      <c r="F305" s="3" t="str">
        <f>HYPERLINK("https://maps.google.com/maps?q=5.02013,-75.36651&amp;ll=5.02013,-75.36651&amp;z=14.75z","Vía Bogotá D.C. - Manizales, Km 64.52 Fresno - Manizales, , La Esperanza, Manizales, Caldas")</f>
        <v>Vía Bogotá D.C. - Manizales, Km 64.52 Fresno - Manizales, , La Esperanza, Manizales, Caldas</v>
      </c>
      <c r="G305">
        <v>28</v>
      </c>
      <c r="H305">
        <v>138144</v>
      </c>
      <c r="I305">
        <v>-75.366510000000005</v>
      </c>
      <c r="J305">
        <v>5.02013</v>
      </c>
      <c r="K305" t="s">
        <v>24</v>
      </c>
      <c r="L305" s="1">
        <v>44614</v>
      </c>
      <c r="M305" s="2" t="s">
        <v>346</v>
      </c>
      <c r="N305" t="s">
        <v>20</v>
      </c>
      <c r="O305" t="s">
        <v>21</v>
      </c>
      <c r="P305" t="s">
        <v>22</v>
      </c>
    </row>
    <row r="306" spans="1:16" x14ac:dyDescent="0.25">
      <c r="A306" t="s">
        <v>16</v>
      </c>
      <c r="B306" t="s">
        <v>17</v>
      </c>
      <c r="C306" t="s">
        <v>18</v>
      </c>
      <c r="D306" s="1">
        <v>44614</v>
      </c>
      <c r="E306" s="2" t="s">
        <v>346</v>
      </c>
      <c r="F306" s="3" t="str">
        <f>HYPERLINK("https://maps.google.com/maps?q=5.02082,-75.36364&amp;ll=5.02082,-75.36364&amp;z=14.75z","Vía Bogotá D.C. - Manizales, Km 64.04 Fresno - Manizales, , La Esperanza, Manizales, Caldas")</f>
        <v>Vía Bogotá D.C. - Manizales, Km 64.04 Fresno - Manizales, , La Esperanza, Manizales, Caldas</v>
      </c>
      <c r="G306">
        <v>30</v>
      </c>
      <c r="H306">
        <v>138145</v>
      </c>
      <c r="I306">
        <v>-75.363640000000004</v>
      </c>
      <c r="J306">
        <v>5.0208199999999996</v>
      </c>
      <c r="K306" t="s">
        <v>33</v>
      </c>
      <c r="L306" s="1">
        <v>44614</v>
      </c>
      <c r="M306" s="2" t="s">
        <v>346</v>
      </c>
      <c r="N306" t="s">
        <v>20</v>
      </c>
      <c r="O306" t="s">
        <v>21</v>
      </c>
      <c r="P306" t="s">
        <v>22</v>
      </c>
    </row>
    <row r="307" spans="1:16" x14ac:dyDescent="0.25">
      <c r="A307" t="s">
        <v>16</v>
      </c>
      <c r="B307" t="s">
        <v>17</v>
      </c>
      <c r="C307" t="s">
        <v>18</v>
      </c>
      <c r="D307" s="1">
        <v>44614</v>
      </c>
      <c r="E307" s="2" t="s">
        <v>347</v>
      </c>
      <c r="F307" s="3" t="str">
        <f>HYPERLINK("https://maps.google.com/maps?q=5.01789,-75.36391&amp;ll=5.01789,-75.36391&amp;z=14.75z","Vía Bogotá D.C. - Manizales, Km 63.55 Fresno - Manizales, , La Esperanza, Manizales, Caldas")</f>
        <v>Vía Bogotá D.C. - Manizales, Km 63.55 Fresno - Manizales, , La Esperanza, Manizales, Caldas</v>
      </c>
      <c r="G307">
        <v>28</v>
      </c>
      <c r="H307">
        <v>138145</v>
      </c>
      <c r="I307">
        <v>-75.363910000000004</v>
      </c>
      <c r="J307">
        <v>5.0178900000000004</v>
      </c>
      <c r="K307" t="s">
        <v>33</v>
      </c>
      <c r="L307" s="1">
        <v>44614</v>
      </c>
      <c r="M307" s="2" t="s">
        <v>347</v>
      </c>
      <c r="N307" t="s">
        <v>20</v>
      </c>
      <c r="O307" t="s">
        <v>21</v>
      </c>
      <c r="P307" t="s">
        <v>22</v>
      </c>
    </row>
    <row r="308" spans="1:16" x14ac:dyDescent="0.25">
      <c r="A308" t="s">
        <v>16</v>
      </c>
      <c r="B308" t="s">
        <v>17</v>
      </c>
      <c r="C308" t="s">
        <v>18</v>
      </c>
      <c r="D308" s="1">
        <v>44614</v>
      </c>
      <c r="E308" s="2" t="s">
        <v>348</v>
      </c>
      <c r="F308" s="3" t="str">
        <f>HYPERLINK("https://maps.google.com/maps?q=5.01598,-75.36038&amp;ll=5.01598,-75.36038&amp;z=14.75z","Vía Bogotá D.C. - Manizales, Km 63.05 Fresno - Manizales, , La Esperanza, Manizales, Caldas")</f>
        <v>Vía Bogotá D.C. - Manizales, Km 63.05 Fresno - Manizales, , La Esperanza, Manizales, Caldas</v>
      </c>
      <c r="G308">
        <v>33</v>
      </c>
      <c r="H308">
        <v>138145</v>
      </c>
      <c r="I308">
        <v>-75.360380000000006</v>
      </c>
      <c r="J308">
        <v>5.0159799999999999</v>
      </c>
      <c r="K308" t="s">
        <v>41</v>
      </c>
      <c r="L308" s="1">
        <v>44614</v>
      </c>
      <c r="M308" s="2" t="s">
        <v>348</v>
      </c>
      <c r="N308" t="s">
        <v>20</v>
      </c>
      <c r="O308" t="s">
        <v>21</v>
      </c>
      <c r="P308" t="s">
        <v>22</v>
      </c>
    </row>
    <row r="309" spans="1:16" x14ac:dyDescent="0.25">
      <c r="A309" t="s">
        <v>16</v>
      </c>
      <c r="B309" t="s">
        <v>17</v>
      </c>
      <c r="C309" t="s">
        <v>18</v>
      </c>
      <c r="D309" s="1">
        <v>44614</v>
      </c>
      <c r="E309" s="2" t="s">
        <v>349</v>
      </c>
      <c r="F309" s="3" t="str">
        <f>HYPERLINK("https://maps.google.com/maps?q=5.01681,-75.35628&amp;ll=5.01681,-75.35628&amp;z=14.75z","Vía Bogotá D.C. - Manizales, Km 62.6 Fresno - Manizales, , La Esperanza, Manizales, Caldas")</f>
        <v>Vía Bogotá D.C. - Manizales, Km 62.6 Fresno - Manizales, , La Esperanza, Manizales, Caldas</v>
      </c>
      <c r="G309">
        <v>31</v>
      </c>
      <c r="H309">
        <v>138146</v>
      </c>
      <c r="I309">
        <v>-75.356279999999998</v>
      </c>
      <c r="J309">
        <v>5.0168100000000004</v>
      </c>
      <c r="K309" t="s">
        <v>33</v>
      </c>
      <c r="L309" s="1">
        <v>44614</v>
      </c>
      <c r="M309" s="2" t="s">
        <v>349</v>
      </c>
      <c r="N309" t="s">
        <v>20</v>
      </c>
      <c r="O309" t="s">
        <v>21</v>
      </c>
      <c r="P309" t="s">
        <v>22</v>
      </c>
    </row>
    <row r="310" spans="1:16" x14ac:dyDescent="0.25">
      <c r="A310" t="s">
        <v>16</v>
      </c>
      <c r="B310" t="s">
        <v>17</v>
      </c>
      <c r="C310" t="s">
        <v>18</v>
      </c>
      <c r="D310" s="1">
        <v>44614</v>
      </c>
      <c r="E310" s="2" t="s">
        <v>350</v>
      </c>
      <c r="F310" s="3" t="str">
        <f>HYPERLINK("https://maps.google.com/maps?q=5.01414,-75.35291&amp;ll=5.01414,-75.35291&amp;z=14.75z","Vía Bogotá D.C. - Manizales, Km 62.04 Fresno - Manizales, , La Esperanza, Manizales, Caldas")</f>
        <v>Vía Bogotá D.C. - Manizales, Km 62.04 Fresno - Manizales, , La Esperanza, Manizales, Caldas</v>
      </c>
      <c r="G310">
        <v>32</v>
      </c>
      <c r="H310">
        <v>138146</v>
      </c>
      <c r="I310">
        <v>-75.352909999999994</v>
      </c>
      <c r="J310">
        <v>5.0141400000000003</v>
      </c>
      <c r="K310" t="s">
        <v>41</v>
      </c>
      <c r="L310" s="1">
        <v>44614</v>
      </c>
      <c r="M310" s="2" t="s">
        <v>350</v>
      </c>
      <c r="N310" t="s">
        <v>20</v>
      </c>
      <c r="O310" t="s">
        <v>21</v>
      </c>
      <c r="P310" t="s">
        <v>22</v>
      </c>
    </row>
    <row r="311" spans="1:16" x14ac:dyDescent="0.25">
      <c r="A311" t="s">
        <v>16</v>
      </c>
      <c r="B311" t="s">
        <v>17</v>
      </c>
      <c r="C311" t="s">
        <v>18</v>
      </c>
      <c r="D311" s="1">
        <v>44614</v>
      </c>
      <c r="E311" s="2" t="s">
        <v>351</v>
      </c>
      <c r="F311" s="3" t="str">
        <f>HYPERLINK("https://maps.google.com/maps?q=5.01417,-75.3485&amp;ll=5.01417,-75.3485&amp;z=14.75z","Vía Bogotá D.C. - Manizales, Km 61.49 Fresno - Manizales, , La Esperanza, Manizales, Caldas")</f>
        <v>Vía Bogotá D.C. - Manizales, Km 61.49 Fresno - Manizales, , La Esperanza, Manizales, Caldas</v>
      </c>
      <c r="G311">
        <v>33</v>
      </c>
      <c r="H311">
        <v>138147</v>
      </c>
      <c r="I311">
        <v>-75.348500000000001</v>
      </c>
      <c r="J311">
        <v>5.01417</v>
      </c>
      <c r="K311" t="s">
        <v>41</v>
      </c>
      <c r="L311" s="1">
        <v>44614</v>
      </c>
      <c r="M311" s="2" t="s">
        <v>351</v>
      </c>
      <c r="N311" t="s">
        <v>20</v>
      </c>
      <c r="O311" t="s">
        <v>21</v>
      </c>
      <c r="P311" t="s">
        <v>22</v>
      </c>
    </row>
    <row r="312" spans="1:16" x14ac:dyDescent="0.25">
      <c r="A312" t="s">
        <v>16</v>
      </c>
      <c r="B312" t="s">
        <v>17</v>
      </c>
      <c r="C312" t="s">
        <v>18</v>
      </c>
      <c r="D312" s="1">
        <v>44614</v>
      </c>
      <c r="E312" s="2" t="s">
        <v>351</v>
      </c>
      <c r="F312" s="3" t="str">
        <f>HYPERLINK("https://maps.google.com/maps?q=5.01466,-75.34378&amp;ll=5.01466,-75.34378&amp;z=14.75z","Vía Bogotá D.C. - Manizales, Km 60.99 Fresno - Manizales, , La Esperanza, Manizales, Caldas")</f>
        <v>Vía Bogotá D.C. - Manizales, Km 60.99 Fresno - Manizales, , La Esperanza, Manizales, Caldas</v>
      </c>
      <c r="G312">
        <v>32</v>
      </c>
      <c r="H312">
        <v>138147</v>
      </c>
      <c r="I312">
        <v>-75.343779999999995</v>
      </c>
      <c r="J312">
        <v>5.0146600000000001</v>
      </c>
      <c r="K312" t="s">
        <v>41</v>
      </c>
      <c r="L312" s="1">
        <v>44614</v>
      </c>
      <c r="M312" s="2" t="s">
        <v>352</v>
      </c>
      <c r="N312" t="s">
        <v>20</v>
      </c>
      <c r="O312" t="s">
        <v>21</v>
      </c>
      <c r="P312" t="s">
        <v>22</v>
      </c>
    </row>
    <row r="313" spans="1:16" x14ac:dyDescent="0.25">
      <c r="A313" t="s">
        <v>16</v>
      </c>
      <c r="B313" t="s">
        <v>17</v>
      </c>
      <c r="C313" t="s">
        <v>18</v>
      </c>
      <c r="D313" s="1">
        <v>44614</v>
      </c>
      <c r="E313" s="2" t="s">
        <v>352</v>
      </c>
      <c r="F313" s="3" t="str">
        <f>HYPERLINK("https://maps.google.com/maps?q=5.01491,-75.34138&amp;ll=5.01491,-75.34138&amp;z=14.75z","Vía Bogotá D.C. - Manizales, Km 60.51 Fresno - Manizales, , La Esperanza, Manizales, Caldas")</f>
        <v>Vía Bogotá D.C. - Manizales, Km 60.51 Fresno - Manizales, , La Esperanza, Manizales, Caldas</v>
      </c>
      <c r="G313">
        <v>24</v>
      </c>
      <c r="H313">
        <v>138148</v>
      </c>
      <c r="I313">
        <v>-75.341380000000001</v>
      </c>
      <c r="J313">
        <v>5.0149100000000004</v>
      </c>
      <c r="K313" t="s">
        <v>29</v>
      </c>
      <c r="L313" s="1">
        <v>44614</v>
      </c>
      <c r="M313" s="2" t="s">
        <v>307</v>
      </c>
      <c r="N313" t="s">
        <v>20</v>
      </c>
      <c r="O313" t="s">
        <v>21</v>
      </c>
      <c r="P313" t="s">
        <v>22</v>
      </c>
    </row>
    <row r="314" spans="1:16" x14ac:dyDescent="0.25">
      <c r="A314" t="s">
        <v>16</v>
      </c>
      <c r="B314" t="s">
        <v>17</v>
      </c>
      <c r="C314" t="s">
        <v>18</v>
      </c>
      <c r="D314" s="1">
        <v>44614</v>
      </c>
      <c r="E314" s="2" t="s">
        <v>307</v>
      </c>
      <c r="F314" s="3" t="str">
        <f>HYPERLINK("https://maps.google.com/maps?q=5.01565,-75.34133&amp;ll=5.01565,-75.34133&amp;z=14.75z","Vía Bogotá D.C. - Manizales, Km 60.04 Fresno - Manizales, , La Esperanza, Manizales, Caldas")</f>
        <v>Vía Bogotá D.C. - Manizales, Km 60.04 Fresno - Manizales, , La Esperanza, Manizales, Caldas</v>
      </c>
      <c r="G314">
        <v>33</v>
      </c>
      <c r="H314">
        <v>138148</v>
      </c>
      <c r="I314">
        <v>-75.341329999999999</v>
      </c>
      <c r="J314">
        <v>5.0156499999999999</v>
      </c>
      <c r="K314" t="s">
        <v>41</v>
      </c>
      <c r="L314" s="1">
        <v>44614</v>
      </c>
      <c r="M314" s="2" t="s">
        <v>307</v>
      </c>
      <c r="N314" t="s">
        <v>20</v>
      </c>
      <c r="O314" t="s">
        <v>21</v>
      </c>
      <c r="P314" t="s">
        <v>22</v>
      </c>
    </row>
    <row r="315" spans="1:16" x14ac:dyDescent="0.25">
      <c r="A315" t="s">
        <v>16</v>
      </c>
      <c r="B315" t="s">
        <v>17</v>
      </c>
      <c r="C315" t="s">
        <v>18</v>
      </c>
      <c r="D315" s="1">
        <v>44614</v>
      </c>
      <c r="E315" s="2" t="s">
        <v>353</v>
      </c>
      <c r="F315" s="3" t="str">
        <f>HYPERLINK("https://maps.google.com/maps?q=5.01644,-75.33687&amp;ll=5.01644,-75.33687&amp;z=14.75z","Vía Bogotá D.C. - Manizales, Km 59.47 Fresno - Manizales, , La Esperanza, Manizales, Caldas")</f>
        <v>Vía Bogotá D.C. - Manizales, Km 59.47 Fresno - Manizales, , La Esperanza, Manizales, Caldas</v>
      </c>
      <c r="G315">
        <v>36</v>
      </c>
      <c r="H315">
        <v>138149</v>
      </c>
      <c r="I315">
        <v>-75.336870000000005</v>
      </c>
      <c r="J315">
        <v>5.0164400000000002</v>
      </c>
      <c r="K315" t="s">
        <v>41</v>
      </c>
      <c r="L315" s="1">
        <v>44614</v>
      </c>
      <c r="M315" s="2" t="s">
        <v>354</v>
      </c>
      <c r="N315" t="s">
        <v>20</v>
      </c>
      <c r="O315" t="s">
        <v>21</v>
      </c>
      <c r="P315" t="s">
        <v>22</v>
      </c>
    </row>
    <row r="316" spans="1:16" x14ac:dyDescent="0.25">
      <c r="A316" t="s">
        <v>16</v>
      </c>
      <c r="B316" t="s">
        <v>17</v>
      </c>
      <c r="C316" t="s">
        <v>18</v>
      </c>
      <c r="D316" s="1">
        <v>44614</v>
      </c>
      <c r="E316" s="2" t="s">
        <v>354</v>
      </c>
      <c r="F316" s="3" t="str">
        <f>HYPERLINK("https://maps.google.com/maps?q=5.01918,-75.33357&amp;ll=5.01918,-75.33357&amp;z=14.75z","Vía Bogotá D.C. - Manizales, Km 59 Fresno - Manizales, , La Esperanza, Manizales, Caldas")</f>
        <v>Vía Bogotá D.C. - Manizales, Km 59 Fresno - Manizales, , La Esperanza, Manizales, Caldas</v>
      </c>
      <c r="G316">
        <v>31</v>
      </c>
      <c r="H316">
        <v>138149</v>
      </c>
      <c r="I316">
        <v>-75.333569999999995</v>
      </c>
      <c r="J316">
        <v>5.0191800000000004</v>
      </c>
      <c r="K316" t="s">
        <v>23</v>
      </c>
      <c r="L316" s="1">
        <v>44614</v>
      </c>
      <c r="M316" s="2" t="s">
        <v>354</v>
      </c>
      <c r="N316" t="s">
        <v>20</v>
      </c>
      <c r="O316" t="s">
        <v>21</v>
      </c>
      <c r="P316" t="s">
        <v>22</v>
      </c>
    </row>
    <row r="317" spans="1:16" x14ac:dyDescent="0.25">
      <c r="A317" t="s">
        <v>16</v>
      </c>
      <c r="B317" t="s">
        <v>17</v>
      </c>
      <c r="C317" t="s">
        <v>18</v>
      </c>
      <c r="D317" s="1">
        <v>44614</v>
      </c>
      <c r="E317" s="2" t="s">
        <v>355</v>
      </c>
      <c r="F317" s="3" t="str">
        <f>HYPERLINK("https://maps.google.com/maps?q=5.02344,-75.33406&amp;ll=5.02344,-75.33406&amp;z=14.75z","Vía Bogotá D.C. - Manizales, Km 58.54 Fresno - Manizales, , La Esperanza, Manizales, Caldas")</f>
        <v>Vía Bogotá D.C. - Manizales, Km 58.54 Fresno - Manizales, , La Esperanza, Manizales, Caldas</v>
      </c>
      <c r="G317">
        <v>31</v>
      </c>
      <c r="H317">
        <v>138150</v>
      </c>
      <c r="I317">
        <v>-75.334059999999994</v>
      </c>
      <c r="J317">
        <v>5.0234399999999999</v>
      </c>
      <c r="K317" t="s">
        <v>23</v>
      </c>
      <c r="L317" s="1">
        <v>44614</v>
      </c>
      <c r="M317" s="2" t="s">
        <v>355</v>
      </c>
      <c r="N317" t="s">
        <v>20</v>
      </c>
      <c r="O317" t="s">
        <v>21</v>
      </c>
      <c r="P317" t="s">
        <v>22</v>
      </c>
    </row>
    <row r="318" spans="1:16" x14ac:dyDescent="0.25">
      <c r="A318" t="s">
        <v>16</v>
      </c>
      <c r="B318" t="s">
        <v>17</v>
      </c>
      <c r="C318" t="s">
        <v>18</v>
      </c>
      <c r="D318" s="1">
        <v>44614</v>
      </c>
      <c r="E318" s="2" t="s">
        <v>280</v>
      </c>
      <c r="F318" s="3" t="str">
        <f>HYPERLINK("https://maps.google.com/maps?q=5.02803,-75.33428&amp;ll=5.02803,-75.33428&amp;z=14.75z","Vía Bogotá D.C. - Manizales, Km 57.97 Fresno - Manizales, , La Esperanza, Manizales, Caldas")</f>
        <v>Vía Bogotá D.C. - Manizales, Km 57.97 Fresno - Manizales, , La Esperanza, Manizales, Caldas</v>
      </c>
      <c r="G318">
        <v>33</v>
      </c>
      <c r="H318">
        <v>138150</v>
      </c>
      <c r="I318">
        <v>-75.334280000000007</v>
      </c>
      <c r="J318">
        <v>5.0280300000000002</v>
      </c>
      <c r="K318" t="s">
        <v>23</v>
      </c>
      <c r="L318" s="1">
        <v>44614</v>
      </c>
      <c r="M318" s="2" t="s">
        <v>280</v>
      </c>
      <c r="N318" t="s">
        <v>20</v>
      </c>
      <c r="O318" t="s">
        <v>21</v>
      </c>
      <c r="P318" t="s">
        <v>22</v>
      </c>
    </row>
    <row r="319" spans="1:16" x14ac:dyDescent="0.25">
      <c r="A319" t="s">
        <v>16</v>
      </c>
      <c r="B319" t="s">
        <v>17</v>
      </c>
      <c r="C319" t="s">
        <v>18</v>
      </c>
      <c r="D319" s="1">
        <v>44614</v>
      </c>
      <c r="E319" s="2" t="s">
        <v>308</v>
      </c>
      <c r="F319" s="3" t="str">
        <f>HYPERLINK("https://maps.google.com/maps?q=5.03255,-75.33328&amp;ll=5.03255,-75.33328&amp;z=14.75z","Vía Bogotá D.C. - Manizales, Km 57.5 Fresno - Manizales, , La Esperanza, Manizales, Caldas")</f>
        <v>Vía Bogotá D.C. - Manizales, Km 57.5 Fresno - Manizales, , La Esperanza, Manizales, Caldas</v>
      </c>
      <c r="G319">
        <v>33</v>
      </c>
      <c r="H319">
        <v>138151</v>
      </c>
      <c r="I319">
        <v>-75.333280000000002</v>
      </c>
      <c r="J319">
        <v>5.0325499999999996</v>
      </c>
      <c r="K319" t="s">
        <v>23</v>
      </c>
      <c r="L319" s="1">
        <v>44614</v>
      </c>
      <c r="M319" s="2" t="s">
        <v>308</v>
      </c>
      <c r="N319" t="s">
        <v>20</v>
      </c>
      <c r="O319" t="s">
        <v>21</v>
      </c>
      <c r="P319" t="s">
        <v>22</v>
      </c>
    </row>
    <row r="320" spans="1:16" x14ac:dyDescent="0.25">
      <c r="A320" t="s">
        <v>16</v>
      </c>
      <c r="B320" t="s">
        <v>17</v>
      </c>
      <c r="C320" t="s">
        <v>18</v>
      </c>
      <c r="D320" s="1">
        <v>44614</v>
      </c>
      <c r="E320" s="2" t="s">
        <v>356</v>
      </c>
      <c r="F320" s="3" t="str">
        <f>HYPERLINK("https://maps.google.com/maps?q=5.03692,-75.33345&amp;ll=5.03692,-75.33345&amp;z=14.75z","Vía Bogotá D.C. - Manizales, Km 56.97 Fresno - Manizales, , La Esperanza, Manizales, Caldas")</f>
        <v>Vía Bogotá D.C. - Manizales, Km 56.97 Fresno - Manizales, , La Esperanza, Manizales, Caldas</v>
      </c>
      <c r="G320">
        <v>33</v>
      </c>
      <c r="H320">
        <v>138151</v>
      </c>
      <c r="I320">
        <v>-75.333449999999999</v>
      </c>
      <c r="J320">
        <v>5.0369200000000003</v>
      </c>
      <c r="K320" t="s">
        <v>19</v>
      </c>
      <c r="L320" s="1">
        <v>44614</v>
      </c>
      <c r="M320" s="2" t="s">
        <v>356</v>
      </c>
      <c r="N320" t="s">
        <v>20</v>
      </c>
      <c r="O320" t="s">
        <v>21</v>
      </c>
      <c r="P320" t="s">
        <v>22</v>
      </c>
    </row>
    <row r="321" spans="1:16" x14ac:dyDescent="0.25">
      <c r="A321" t="s">
        <v>16</v>
      </c>
      <c r="B321" t="s">
        <v>17</v>
      </c>
      <c r="C321" t="s">
        <v>18</v>
      </c>
      <c r="D321" s="1">
        <v>44614</v>
      </c>
      <c r="E321" s="2" t="s">
        <v>357</v>
      </c>
      <c r="F321" s="3" t="str">
        <f>HYPERLINK("https://maps.google.com/maps?q=5.0409,-75.33548&amp;ll=5.0409,-75.33548&amp;z=14.75z","Vía Bogotá D.C. - Manizales, Km 56.45 Fresno - Manizales, , La Esperanza, Manizales, Caldas")</f>
        <v>Vía Bogotá D.C. - Manizales, Km 56.45 Fresno - Manizales, , La Esperanza, Manizales, Caldas</v>
      </c>
      <c r="G321">
        <v>32</v>
      </c>
      <c r="H321">
        <v>138152</v>
      </c>
      <c r="I321">
        <v>-75.335480000000004</v>
      </c>
      <c r="J321">
        <v>5.0408999999999997</v>
      </c>
      <c r="K321" t="s">
        <v>23</v>
      </c>
      <c r="L321" s="1">
        <v>44614</v>
      </c>
      <c r="M321" s="2" t="s">
        <v>357</v>
      </c>
      <c r="N321" t="s">
        <v>20</v>
      </c>
      <c r="O321" t="s">
        <v>21</v>
      </c>
      <c r="P321" t="s">
        <v>22</v>
      </c>
    </row>
    <row r="322" spans="1:16" x14ac:dyDescent="0.25">
      <c r="A322" t="s">
        <v>16</v>
      </c>
      <c r="B322" t="s">
        <v>17</v>
      </c>
      <c r="C322" t="s">
        <v>18</v>
      </c>
      <c r="D322" s="1">
        <v>44614</v>
      </c>
      <c r="E322" s="2" t="s">
        <v>358</v>
      </c>
      <c r="F322" s="3" t="str">
        <f>HYPERLINK("https://maps.google.com/maps?q=5.04575,-75.33139&amp;ll=5.04575,-75.33139&amp;z=14.75z","Vía Bogotá D.C. - Manizales, Km 55.61 Fresno - Manizales, , Letras, Herveo, Tolima")</f>
        <v>Vía Bogotá D.C. - Manizales, Km 55.61 Fresno - Manizales, , Letras, Herveo, Tolima</v>
      </c>
      <c r="G322">
        <v>55</v>
      </c>
      <c r="H322">
        <v>138153</v>
      </c>
      <c r="I322">
        <v>-75.331389999999999</v>
      </c>
      <c r="J322">
        <v>5.04575</v>
      </c>
      <c r="K322" t="s">
        <v>24</v>
      </c>
      <c r="L322" s="1">
        <v>44614</v>
      </c>
      <c r="M322" s="2" t="s">
        <v>358</v>
      </c>
      <c r="N322" t="s">
        <v>20</v>
      </c>
      <c r="O322" t="s">
        <v>21</v>
      </c>
      <c r="P322" t="s">
        <v>22</v>
      </c>
    </row>
    <row r="323" spans="1:16" x14ac:dyDescent="0.25">
      <c r="A323" t="s">
        <v>16</v>
      </c>
      <c r="B323" t="s">
        <v>17</v>
      </c>
      <c r="C323" t="s">
        <v>18</v>
      </c>
      <c r="D323" s="1">
        <v>44614</v>
      </c>
      <c r="E323" s="2" t="s">
        <v>281</v>
      </c>
      <c r="F323" s="3" t="str">
        <f>HYPERLINK("https://maps.google.com/maps?q=5.05001,-75.32849&amp;ll=5.05001,-75.32849&amp;z=14.75z","Vía Bogotá D.C. - Manizales, Km 55.14 Fresno - Manizales, , Letras, Herveo, Tolima")</f>
        <v>Vía Bogotá D.C. - Manizales, Km 55.14 Fresno - Manizales, , Letras, Herveo, Tolima</v>
      </c>
      <c r="G323">
        <v>21</v>
      </c>
      <c r="H323">
        <v>138153</v>
      </c>
      <c r="I323">
        <v>-75.328490000000002</v>
      </c>
      <c r="J323">
        <v>5.0500100000000003</v>
      </c>
      <c r="K323" t="s">
        <v>24</v>
      </c>
      <c r="L323" s="1">
        <v>44614</v>
      </c>
      <c r="M323" s="2" t="s">
        <v>281</v>
      </c>
      <c r="N323" t="s">
        <v>20</v>
      </c>
      <c r="O323" t="s">
        <v>21</v>
      </c>
      <c r="P323" t="s">
        <v>22</v>
      </c>
    </row>
    <row r="324" spans="1:16" x14ac:dyDescent="0.25">
      <c r="A324" t="s">
        <v>16</v>
      </c>
      <c r="B324" t="s">
        <v>17</v>
      </c>
      <c r="C324" t="s">
        <v>18</v>
      </c>
      <c r="D324" s="1">
        <v>44614</v>
      </c>
      <c r="E324" s="2" t="s">
        <v>282</v>
      </c>
      <c r="F324" s="3" t="str">
        <f>HYPERLINK("https://maps.google.com/maps?q=5.05219,-75.32663&amp;ll=5.05219,-75.32663&amp;z=14.75z","Vía Bogotá D.C. - Manizales, Km 54.81 Fresno - Manizales, , Letras, Herveo, Tolima")</f>
        <v>Vía Bogotá D.C. - Manizales, Km 54.81 Fresno - Manizales, , Letras, Herveo, Tolima</v>
      </c>
      <c r="G324">
        <v>26</v>
      </c>
      <c r="H324">
        <v>138153</v>
      </c>
      <c r="I324">
        <v>-75.326629999999994</v>
      </c>
      <c r="J324">
        <v>5.0521900000000004</v>
      </c>
      <c r="K324" t="s">
        <v>24</v>
      </c>
      <c r="L324" s="1">
        <v>44614</v>
      </c>
      <c r="M324" s="2" t="s">
        <v>282</v>
      </c>
      <c r="N324" t="s">
        <v>20</v>
      </c>
      <c r="O324" t="s">
        <v>21</v>
      </c>
      <c r="P324" t="s">
        <v>22</v>
      </c>
    </row>
    <row r="325" spans="1:16" x14ac:dyDescent="0.25">
      <c r="A325" t="s">
        <v>16</v>
      </c>
      <c r="B325" t="s">
        <v>17</v>
      </c>
      <c r="C325" t="s">
        <v>18</v>
      </c>
      <c r="D325" s="1">
        <v>44614</v>
      </c>
      <c r="E325" s="2" t="s">
        <v>283</v>
      </c>
      <c r="F325" s="3" t="str">
        <f>HYPERLINK("https://maps.google.com/maps?q=5.05364,-75.32282&amp;ll=5.05364,-75.32282&amp;z=14.75z","Vía Bogotá D.C. - Manizales, Km 54.35 Fresno - Manizales, , Letras, Herveo, Tolima")</f>
        <v>Vía Bogotá D.C. - Manizales, Km 54.35 Fresno - Manizales, , Letras, Herveo, Tolima</v>
      </c>
      <c r="G325">
        <v>32</v>
      </c>
      <c r="H325">
        <v>138154</v>
      </c>
      <c r="I325">
        <v>-75.322819999999993</v>
      </c>
      <c r="J325">
        <v>5.0536399999999997</v>
      </c>
      <c r="K325" t="s">
        <v>41</v>
      </c>
      <c r="L325" s="1">
        <v>44614</v>
      </c>
      <c r="M325" s="2" t="s">
        <v>283</v>
      </c>
      <c r="N325" t="s">
        <v>20</v>
      </c>
      <c r="O325" t="s">
        <v>21</v>
      </c>
      <c r="P325" t="s">
        <v>22</v>
      </c>
    </row>
    <row r="326" spans="1:16" x14ac:dyDescent="0.25">
      <c r="A326" t="s">
        <v>16</v>
      </c>
      <c r="B326" t="s">
        <v>17</v>
      </c>
      <c r="C326" t="s">
        <v>18</v>
      </c>
      <c r="D326" s="1">
        <v>44614</v>
      </c>
      <c r="E326" s="2" t="s">
        <v>284</v>
      </c>
      <c r="F326" s="3" t="str">
        <f>HYPERLINK("https://maps.google.com/maps?q=5.05646,-75.31928&amp;ll=5.05646,-75.31928&amp;z=14.75z","Vía Bogotá D.C. - Manizales, Km 53.83 Fresno - Manizales, , Letras, Herveo, Tolima")</f>
        <v>Vía Bogotá D.C. - Manizales, Km 53.83 Fresno - Manizales, , Letras, Herveo, Tolima</v>
      </c>
      <c r="G326">
        <v>35</v>
      </c>
      <c r="H326">
        <v>138155</v>
      </c>
      <c r="I326">
        <v>-75.319280000000006</v>
      </c>
      <c r="J326">
        <v>5.0564600000000004</v>
      </c>
      <c r="K326" t="s">
        <v>24</v>
      </c>
      <c r="L326" s="1">
        <v>44614</v>
      </c>
      <c r="M326" s="2" t="s">
        <v>284</v>
      </c>
      <c r="N326" t="s">
        <v>20</v>
      </c>
      <c r="O326" t="s">
        <v>21</v>
      </c>
      <c r="P326" t="s">
        <v>22</v>
      </c>
    </row>
    <row r="327" spans="1:16" x14ac:dyDescent="0.25">
      <c r="A327" t="s">
        <v>16</v>
      </c>
      <c r="B327" t="s">
        <v>17</v>
      </c>
      <c r="C327" t="s">
        <v>18</v>
      </c>
      <c r="D327" s="1">
        <v>44614</v>
      </c>
      <c r="E327" s="2" t="s">
        <v>284</v>
      </c>
      <c r="F327" s="3" t="str">
        <f>HYPERLINK("https://maps.google.com/maps?q=5.05915,-75.31602&amp;ll=5.05915,-75.31602&amp;z=14.75z","Vía Bogotá D.C. - Manizales, Km 53.32 Fresno - Manizales, , Letras, Herveo, Tolima")</f>
        <v>Vía Bogotá D.C. - Manizales, Km 53.32 Fresno - Manizales, , Letras, Herveo, Tolima</v>
      </c>
      <c r="G327">
        <v>29</v>
      </c>
      <c r="H327">
        <v>138155</v>
      </c>
      <c r="I327">
        <v>-75.316019999999995</v>
      </c>
      <c r="J327">
        <v>5.0591499999999998</v>
      </c>
      <c r="K327" t="s">
        <v>24</v>
      </c>
      <c r="L327" s="1">
        <v>44614</v>
      </c>
      <c r="M327" s="2" t="s">
        <v>285</v>
      </c>
      <c r="N327" t="s">
        <v>20</v>
      </c>
      <c r="O327" t="s">
        <v>21</v>
      </c>
      <c r="P327" t="s">
        <v>22</v>
      </c>
    </row>
    <row r="328" spans="1:16" x14ac:dyDescent="0.25">
      <c r="A328" t="s">
        <v>16</v>
      </c>
      <c r="B328" t="s">
        <v>17</v>
      </c>
      <c r="C328" t="s">
        <v>18</v>
      </c>
      <c r="D328" s="1">
        <v>44614</v>
      </c>
      <c r="E328" s="2" t="s">
        <v>284</v>
      </c>
      <c r="F328" s="3" t="str">
        <f>HYPERLINK("https://maps.google.com/maps?q=5.05915,-75.31602&amp;ll=5.05915,-75.31602&amp;z=14.75z","Vía Bogotá D.C. - Manizales, Km 53.32 Fresno - Manizales, , Letras, Herveo, Tolima")</f>
        <v>Vía Bogotá D.C. - Manizales, Km 53.32 Fresno - Manizales, , Letras, Herveo, Tolima</v>
      </c>
      <c r="G328">
        <v>29</v>
      </c>
      <c r="H328">
        <v>138155</v>
      </c>
      <c r="I328">
        <v>-75.316019999999995</v>
      </c>
      <c r="J328">
        <v>5.0591499999999998</v>
      </c>
      <c r="K328" t="s">
        <v>24</v>
      </c>
      <c r="L328" s="1">
        <v>44614</v>
      </c>
      <c r="M328" s="2" t="s">
        <v>285</v>
      </c>
      <c r="N328" t="s">
        <v>20</v>
      </c>
      <c r="O328" t="s">
        <v>21</v>
      </c>
      <c r="P328" t="s">
        <v>22</v>
      </c>
    </row>
    <row r="329" spans="1:16" x14ac:dyDescent="0.25">
      <c r="A329" t="s">
        <v>16</v>
      </c>
      <c r="B329" t="s">
        <v>17</v>
      </c>
      <c r="C329" t="s">
        <v>18</v>
      </c>
      <c r="D329" s="1">
        <v>44614</v>
      </c>
      <c r="E329" s="2" t="s">
        <v>285</v>
      </c>
      <c r="F329" s="3" t="str">
        <f>HYPERLINK("https://maps.google.com/maps?q=5.06144,-75.31224&amp;ll=5.06144,-75.31224&amp;z=14.75z","Vía Bogotá D.C. - Manizales, Km 52.8 Fresno - Manizales, , Letras, Herveo, Tolima")</f>
        <v>Vía Bogotá D.C. - Manizales, Km 52.8 Fresno - Manizales, , Letras, Herveo, Tolima</v>
      </c>
      <c r="G329">
        <v>33</v>
      </c>
      <c r="H329">
        <v>138156</v>
      </c>
      <c r="I329">
        <v>-75.312240000000003</v>
      </c>
      <c r="J329">
        <v>5.0614400000000002</v>
      </c>
      <c r="K329" t="s">
        <v>24</v>
      </c>
      <c r="L329" s="1">
        <v>44614</v>
      </c>
      <c r="M329" s="2" t="s">
        <v>285</v>
      </c>
      <c r="N329" t="s">
        <v>20</v>
      </c>
      <c r="O329" t="s">
        <v>21</v>
      </c>
      <c r="P329" t="s">
        <v>22</v>
      </c>
    </row>
    <row r="330" spans="1:16" x14ac:dyDescent="0.25">
      <c r="A330" t="s">
        <v>16</v>
      </c>
      <c r="B330" t="s">
        <v>17</v>
      </c>
      <c r="C330" t="s">
        <v>18</v>
      </c>
      <c r="D330" s="1">
        <v>44614</v>
      </c>
      <c r="E330" s="2" t="s">
        <v>360</v>
      </c>
      <c r="F330" s="3" t="str">
        <f>HYPERLINK("https://maps.google.com/maps?q=5.06476,-75.3109&amp;ll=5.06476,-75.3109&amp;z=14.75z","Vía Bogotá D.C. - Manizales, Km 52.29 Fresno - Manizales, , Letras, Herveo, Tolima")</f>
        <v>Vía Bogotá D.C. - Manizales, Km 52.29 Fresno - Manizales, , Letras, Herveo, Tolima</v>
      </c>
      <c r="G330">
        <v>33</v>
      </c>
      <c r="H330">
        <v>138156</v>
      </c>
      <c r="I330">
        <v>-75.310900000000004</v>
      </c>
      <c r="J330">
        <v>5.0647599999999997</v>
      </c>
      <c r="K330" t="s">
        <v>24</v>
      </c>
      <c r="L330" s="1">
        <v>44614</v>
      </c>
      <c r="M330" s="2" t="s">
        <v>309</v>
      </c>
      <c r="N330" t="s">
        <v>20</v>
      </c>
      <c r="O330" t="s">
        <v>21</v>
      </c>
      <c r="P330" t="s">
        <v>22</v>
      </c>
    </row>
    <row r="331" spans="1:16" x14ac:dyDescent="0.25">
      <c r="A331" t="s">
        <v>16</v>
      </c>
      <c r="B331" t="s">
        <v>17</v>
      </c>
      <c r="C331" t="s">
        <v>18</v>
      </c>
      <c r="D331" s="1">
        <v>44614</v>
      </c>
      <c r="E331" s="2" t="s">
        <v>361</v>
      </c>
      <c r="F331" s="3" t="str">
        <f>HYPERLINK("https://maps.google.com/maps?q=5.06711,-75.30685&amp;ll=5.06711,-75.30685&amp;z=14.75z","Vía Bogotá D.C. - Manizales, Km 51.75 Fresno - Manizales, , Letras, Herveo, Tolima")</f>
        <v>Vía Bogotá D.C. - Manizales, Km 51.75 Fresno - Manizales, , Letras, Herveo, Tolima</v>
      </c>
      <c r="G331">
        <v>35</v>
      </c>
      <c r="H331">
        <v>138157</v>
      </c>
      <c r="I331">
        <v>-75.306849999999997</v>
      </c>
      <c r="J331">
        <v>5.0671099999999996</v>
      </c>
      <c r="K331" t="s">
        <v>24</v>
      </c>
      <c r="L331" s="1">
        <v>44614</v>
      </c>
      <c r="M331" s="2" t="s">
        <v>309</v>
      </c>
      <c r="N331" t="s">
        <v>20</v>
      </c>
      <c r="O331" t="s">
        <v>21</v>
      </c>
      <c r="P331" t="s">
        <v>22</v>
      </c>
    </row>
    <row r="332" spans="1:16" x14ac:dyDescent="0.25">
      <c r="A332" t="s">
        <v>16</v>
      </c>
      <c r="B332" t="s">
        <v>17</v>
      </c>
      <c r="C332" t="s">
        <v>18</v>
      </c>
      <c r="D332" s="1">
        <v>44614</v>
      </c>
      <c r="E332" s="2" t="s">
        <v>362</v>
      </c>
      <c r="F332" s="3" t="str">
        <f>HYPERLINK("https://maps.google.com/maps?q=5.06953,-75.30351&amp;ll=5.06953,-75.30351&amp;z=14.75z","Vía Bogotá D.C. - Manizales, Km 51.22 Fresno - Manizales, , Letras, Herveo, Tolima")</f>
        <v>Vía Bogotá D.C. - Manizales, Km 51.22 Fresno - Manizales, , Letras, Herveo, Tolima</v>
      </c>
      <c r="G332">
        <v>27</v>
      </c>
      <c r="H332">
        <v>138157</v>
      </c>
      <c r="I332">
        <v>-75.303510000000003</v>
      </c>
      <c r="J332">
        <v>5.0695300000000003</v>
      </c>
      <c r="K332" t="s">
        <v>41</v>
      </c>
      <c r="L332" s="1">
        <v>44614</v>
      </c>
      <c r="M332" s="2" t="s">
        <v>309</v>
      </c>
      <c r="N332" t="s">
        <v>20</v>
      </c>
      <c r="O332" t="s">
        <v>21</v>
      </c>
      <c r="P332" t="s">
        <v>22</v>
      </c>
    </row>
    <row r="333" spans="1:16" x14ac:dyDescent="0.25">
      <c r="A333" t="s">
        <v>16</v>
      </c>
      <c r="B333" t="s">
        <v>17</v>
      </c>
      <c r="C333" t="s">
        <v>18</v>
      </c>
      <c r="D333" s="1">
        <v>44614</v>
      </c>
      <c r="E333" s="2" t="s">
        <v>363</v>
      </c>
      <c r="F333" s="3" t="str">
        <f>HYPERLINK("https://maps.google.com/maps?q=5.06648,-75.30067&amp;ll=5.06648,-75.30067&amp;z=14.75z","Vía Bogotá D.C. - Manizales, Km 50.72 Fresno - Manizales, , Letras, Herveo, Tolima")</f>
        <v>Vía Bogotá D.C. - Manizales, Km 50.72 Fresno - Manizales, , Letras, Herveo, Tolima</v>
      </c>
      <c r="G333">
        <v>32</v>
      </c>
      <c r="H333">
        <v>138158</v>
      </c>
      <c r="I333">
        <v>-75.300669999999997</v>
      </c>
      <c r="J333">
        <v>5.0664800000000003</v>
      </c>
      <c r="K333" t="s">
        <v>41</v>
      </c>
      <c r="L333" s="1">
        <v>44614</v>
      </c>
      <c r="M333" s="2" t="s">
        <v>309</v>
      </c>
      <c r="N333" t="s">
        <v>20</v>
      </c>
      <c r="O333" t="s">
        <v>21</v>
      </c>
      <c r="P333" t="s">
        <v>22</v>
      </c>
    </row>
    <row r="334" spans="1:16" x14ac:dyDescent="0.25">
      <c r="A334" t="s">
        <v>16</v>
      </c>
      <c r="B334" t="s">
        <v>17</v>
      </c>
      <c r="C334" t="s">
        <v>18</v>
      </c>
      <c r="D334" s="1">
        <v>44614</v>
      </c>
      <c r="E334" s="2" t="s">
        <v>359</v>
      </c>
      <c r="F334" s="3" t="str">
        <f>HYPERLINK("https://maps.google.com/maps?q=5.06559,-75.29643&amp;ll=5.06559,-75.29643&amp;z=14.75z","Vía Bogotá D.C. - Manizales, Km 50.22 Fresno - Manizales, , Letras, Herveo, Tolima")</f>
        <v>Vía Bogotá D.C. - Manizales, Km 50.22 Fresno - Manizales, , Letras, Herveo, Tolima</v>
      </c>
      <c r="G334">
        <v>34</v>
      </c>
      <c r="H334">
        <v>138158</v>
      </c>
      <c r="I334">
        <v>-75.296430000000001</v>
      </c>
      <c r="J334">
        <v>5.0655900000000003</v>
      </c>
      <c r="K334" t="s">
        <v>24</v>
      </c>
      <c r="L334" s="1">
        <v>44614</v>
      </c>
      <c r="M334" s="2" t="s">
        <v>309</v>
      </c>
      <c r="N334" t="s">
        <v>20</v>
      </c>
      <c r="O334" t="s">
        <v>21</v>
      </c>
      <c r="P334" t="s">
        <v>22</v>
      </c>
    </row>
    <row r="335" spans="1:16" x14ac:dyDescent="0.25">
      <c r="A335" t="s">
        <v>16</v>
      </c>
      <c r="B335" t="s">
        <v>17</v>
      </c>
      <c r="C335" t="s">
        <v>27</v>
      </c>
      <c r="D335" s="1">
        <v>44614</v>
      </c>
      <c r="E335" s="2" t="s">
        <v>309</v>
      </c>
      <c r="F335" s="3" t="str">
        <f>HYPERLINK("https://maps.google.com/maps?q=5.06574,-75.29267&amp;ll=5.06574,-75.29267&amp;z=14.75z","Vía Bogotá D.C. - Manizales, Km 49.79 Fresno - Manizales, , Letras, Herveo, Tolima")</f>
        <v>Vía Bogotá D.C. - Manizales, Km 49.79 Fresno - Manizales, , Letras, Herveo, Tolima</v>
      </c>
      <c r="G335">
        <v>31</v>
      </c>
      <c r="H335">
        <v>138158</v>
      </c>
      <c r="I335">
        <v>-75.292670000000001</v>
      </c>
      <c r="J335">
        <v>5.0657399999999999</v>
      </c>
      <c r="K335" t="s">
        <v>41</v>
      </c>
      <c r="L335" s="1">
        <v>44614</v>
      </c>
      <c r="M335" s="2" t="s">
        <v>309</v>
      </c>
      <c r="N335" t="s">
        <v>20</v>
      </c>
      <c r="O335" t="s">
        <v>21</v>
      </c>
      <c r="P335" t="s">
        <v>22</v>
      </c>
    </row>
    <row r="336" spans="1:16" x14ac:dyDescent="0.25">
      <c r="A336" t="s">
        <v>16</v>
      </c>
      <c r="B336" t="s">
        <v>17</v>
      </c>
      <c r="C336" t="s">
        <v>18</v>
      </c>
      <c r="D336" s="1">
        <v>44614</v>
      </c>
      <c r="E336" s="2" t="s">
        <v>309</v>
      </c>
      <c r="F336" s="3" t="str">
        <f>HYPERLINK("https://maps.google.com/maps?q=5.06606,-75.29208&amp;ll=5.06606,-75.29208&amp;z=14.75z","Vía Bogotá D.C. - Manizales, Km 49.71 Fresno - Manizales, , Letras, Herveo, Tolima")</f>
        <v>Vía Bogotá D.C. - Manizales, Km 49.71 Fresno - Manizales, , Letras, Herveo, Tolima</v>
      </c>
      <c r="G336">
        <v>32</v>
      </c>
      <c r="H336">
        <v>138159</v>
      </c>
      <c r="I336">
        <v>-75.292079999999999</v>
      </c>
      <c r="J336">
        <v>5.0660600000000002</v>
      </c>
      <c r="K336" t="s">
        <v>24</v>
      </c>
      <c r="L336" s="1">
        <v>44614</v>
      </c>
      <c r="M336" s="2" t="s">
        <v>309</v>
      </c>
      <c r="N336" t="s">
        <v>20</v>
      </c>
      <c r="O336" t="s">
        <v>21</v>
      </c>
      <c r="P336" t="s">
        <v>22</v>
      </c>
    </row>
    <row r="337" spans="1:16" x14ac:dyDescent="0.25">
      <c r="A337" t="s">
        <v>16</v>
      </c>
      <c r="B337" t="s">
        <v>17</v>
      </c>
      <c r="C337" t="s">
        <v>18</v>
      </c>
      <c r="D337" s="1">
        <v>44614</v>
      </c>
      <c r="E337" s="2" t="s">
        <v>364</v>
      </c>
      <c r="F337" s="3" t="str">
        <f>HYPERLINK("https://maps.google.com/maps?q=5.06963,-75.29008&amp;ll=5.06963,-75.29008&amp;z=14.75z","Vía Bogotá D.C. - Manizales, Km 49.2 Fresno - Manizales, , Letras, Herveo, Tolima")</f>
        <v>Vía Bogotá D.C. - Manizales, Km 49.2 Fresno - Manizales, , Letras, Herveo, Tolima</v>
      </c>
      <c r="G337">
        <v>29</v>
      </c>
      <c r="H337">
        <v>138159</v>
      </c>
      <c r="I337">
        <v>-75.290080000000003</v>
      </c>
      <c r="J337">
        <v>5.0696300000000001</v>
      </c>
      <c r="K337" t="s">
        <v>23</v>
      </c>
      <c r="L337" s="1">
        <v>44614</v>
      </c>
      <c r="M337" s="2" t="s">
        <v>364</v>
      </c>
      <c r="N337" t="s">
        <v>20</v>
      </c>
      <c r="O337" t="s">
        <v>21</v>
      </c>
      <c r="P337" t="s">
        <v>22</v>
      </c>
    </row>
    <row r="338" spans="1:16" x14ac:dyDescent="0.25">
      <c r="A338" t="s">
        <v>16</v>
      </c>
      <c r="B338" t="s">
        <v>17</v>
      </c>
      <c r="C338" t="s">
        <v>18</v>
      </c>
      <c r="D338" s="1">
        <v>44614</v>
      </c>
      <c r="E338" s="2" t="s">
        <v>365</v>
      </c>
      <c r="F338" s="3" t="str">
        <f>HYPERLINK("https://maps.google.com/maps?q=5.071,-75.2868&amp;ll=5.071,-75.2868&amp;z=14.75z","Vía Bogotá D.C. - Manizales, Km 48.72 Fresno - Manizales, , Letras, Herveo, Tolima")</f>
        <v>Vía Bogotá D.C. - Manizales, Km 48.72 Fresno - Manizales, , Letras, Herveo, Tolima</v>
      </c>
      <c r="G338">
        <v>36</v>
      </c>
      <c r="H338">
        <v>138160</v>
      </c>
      <c r="I338">
        <v>-75.286799999999999</v>
      </c>
      <c r="J338">
        <v>5.0709999999999997</v>
      </c>
      <c r="K338" t="s">
        <v>41</v>
      </c>
      <c r="L338" s="1">
        <v>44614</v>
      </c>
      <c r="M338" s="2" t="s">
        <v>365</v>
      </c>
      <c r="N338" t="s">
        <v>20</v>
      </c>
      <c r="O338" t="s">
        <v>21</v>
      </c>
      <c r="P338" t="s">
        <v>22</v>
      </c>
    </row>
    <row r="339" spans="1:16" x14ac:dyDescent="0.25">
      <c r="A339" t="s">
        <v>16</v>
      </c>
      <c r="B339" t="s">
        <v>17</v>
      </c>
      <c r="C339" t="s">
        <v>18</v>
      </c>
      <c r="D339" s="1">
        <v>44614</v>
      </c>
      <c r="E339" s="2" t="s">
        <v>366</v>
      </c>
      <c r="F339" s="3" t="str">
        <f>HYPERLINK("https://maps.google.com/maps?q=5.07382,-75.2846&amp;ll=5.07382,-75.2846&amp;z=14.75z","Vía Bogotá D.C. - Manizales, Km 48.23 Fresno - Manizales, , Letras, Herveo, Tolima")</f>
        <v>Vía Bogotá D.C. - Manizales, Km 48.23 Fresno - Manizales, , Letras, Herveo, Tolima</v>
      </c>
      <c r="G339">
        <v>30</v>
      </c>
      <c r="H339">
        <v>138160</v>
      </c>
      <c r="I339">
        <v>-75.284599999999998</v>
      </c>
      <c r="J339">
        <v>5.0738200000000004</v>
      </c>
      <c r="K339" t="s">
        <v>23</v>
      </c>
      <c r="L339" s="1">
        <v>44614</v>
      </c>
      <c r="M339" s="2" t="s">
        <v>366</v>
      </c>
      <c r="N339" t="s">
        <v>20</v>
      </c>
      <c r="O339" t="s">
        <v>21</v>
      </c>
      <c r="P339" t="s">
        <v>22</v>
      </c>
    </row>
    <row r="340" spans="1:16" x14ac:dyDescent="0.25">
      <c r="A340" t="s">
        <v>16</v>
      </c>
      <c r="B340" t="s">
        <v>17</v>
      </c>
      <c r="C340" t="s">
        <v>18</v>
      </c>
      <c r="D340" s="1">
        <v>44614</v>
      </c>
      <c r="E340" s="2" t="s">
        <v>367</v>
      </c>
      <c r="F340" s="3" t="str">
        <f>HYPERLINK("https://maps.google.com/maps?q=5.0766,-75.28312&amp;ll=5.0766,-75.28312&amp;z=14.75z","Vía Bogotá D.C. - Manizales, Km 47.75 Fresno - Manizales, , Letras, Herveo, Tolima")</f>
        <v>Vía Bogotá D.C. - Manizales, Km 47.75 Fresno - Manizales, , Letras, Herveo, Tolima</v>
      </c>
      <c r="G340">
        <v>35</v>
      </c>
      <c r="H340">
        <v>138161</v>
      </c>
      <c r="I340">
        <v>-75.283119999999997</v>
      </c>
      <c r="J340">
        <v>5.0766</v>
      </c>
      <c r="K340" t="s">
        <v>23</v>
      </c>
      <c r="L340" s="1">
        <v>44614</v>
      </c>
      <c r="M340" s="2" t="s">
        <v>287</v>
      </c>
      <c r="N340" t="s">
        <v>20</v>
      </c>
      <c r="O340" t="s">
        <v>21</v>
      </c>
      <c r="P340" t="s">
        <v>22</v>
      </c>
    </row>
    <row r="341" spans="1:16" x14ac:dyDescent="0.25">
      <c r="A341" t="s">
        <v>16</v>
      </c>
      <c r="B341" t="s">
        <v>17</v>
      </c>
      <c r="C341" t="s">
        <v>18</v>
      </c>
      <c r="D341" s="1">
        <v>44614</v>
      </c>
      <c r="E341" s="2" t="s">
        <v>286</v>
      </c>
      <c r="F341" s="3" t="str">
        <f>HYPERLINK("https://maps.google.com/maps?q=5.08033,-75.28095&amp;ll=5.08033,-75.28095&amp;z=14.75z","Vía Bogotá D.C. - Manizales, Km 47.18 Fresno - Manizales, , Torre Veinte, Herveo, Tolima")</f>
        <v>Vía Bogotá D.C. - Manizales, Km 47.18 Fresno - Manizales, , Torre Veinte, Herveo, Tolima</v>
      </c>
      <c r="G341">
        <v>35</v>
      </c>
      <c r="H341">
        <v>138161</v>
      </c>
      <c r="I341">
        <v>-75.280950000000004</v>
      </c>
      <c r="J341">
        <v>5.08033</v>
      </c>
      <c r="K341" t="s">
        <v>41</v>
      </c>
      <c r="L341" s="1">
        <v>44614</v>
      </c>
      <c r="M341" s="2" t="s">
        <v>287</v>
      </c>
      <c r="N341" t="s">
        <v>20</v>
      </c>
      <c r="O341" t="s">
        <v>21</v>
      </c>
      <c r="P341" t="s">
        <v>22</v>
      </c>
    </row>
    <row r="342" spans="1:16" x14ac:dyDescent="0.25">
      <c r="A342" t="s">
        <v>16</v>
      </c>
      <c r="B342" t="s">
        <v>17</v>
      </c>
      <c r="C342" t="s">
        <v>18</v>
      </c>
      <c r="D342" s="1">
        <v>44614</v>
      </c>
      <c r="E342" s="2" t="s">
        <v>287</v>
      </c>
      <c r="F342" s="3" t="str">
        <f>HYPERLINK("https://maps.google.com/maps?q=5.08134,-75.28157&amp;ll=5.08134,-75.28157&amp;z=14.75z","Vía Bogotá D.C. - Manizales, Km 46.66 Fresno - Manizales, , Torre Veinte, Herveo, Tolima")</f>
        <v>Vía Bogotá D.C. - Manizales, Km 46.66 Fresno - Manizales, , Torre Veinte, Herveo, Tolima</v>
      </c>
      <c r="G342">
        <v>34</v>
      </c>
      <c r="H342">
        <v>138162</v>
      </c>
      <c r="I342">
        <v>-75.281570000000002</v>
      </c>
      <c r="J342">
        <v>5.08134</v>
      </c>
      <c r="K342" t="s">
        <v>19</v>
      </c>
      <c r="L342" s="1">
        <v>44614</v>
      </c>
      <c r="M342" s="2" t="s">
        <v>287</v>
      </c>
      <c r="N342" t="s">
        <v>20</v>
      </c>
      <c r="O342" t="s">
        <v>21</v>
      </c>
      <c r="P342" t="s">
        <v>22</v>
      </c>
    </row>
    <row r="343" spans="1:16" x14ac:dyDescent="0.25">
      <c r="A343" t="s">
        <v>16</v>
      </c>
      <c r="B343" t="s">
        <v>17</v>
      </c>
      <c r="C343" t="s">
        <v>27</v>
      </c>
      <c r="D343" s="1">
        <v>44614</v>
      </c>
      <c r="E343" s="2" t="s">
        <v>287</v>
      </c>
      <c r="F343" s="3" t="str">
        <f>HYPERLINK("https://maps.google.com/maps?q=5.08209,-75.28276&amp;ll=5.08209,-75.28276&amp;z=14.75z","Vía Bogotá D.C. - Manizales, Km 46.55 Fresno - Manizales, , Torre Veinte, Herveo, Tolima")</f>
        <v>Vía Bogotá D.C. - Manizales, Km 46.55 Fresno - Manizales, , Torre Veinte, Herveo, Tolima</v>
      </c>
      <c r="G343">
        <v>30</v>
      </c>
      <c r="H343">
        <v>138162</v>
      </c>
      <c r="I343">
        <v>-75.282759999999996</v>
      </c>
      <c r="J343">
        <v>5.08209</v>
      </c>
      <c r="K343" t="s">
        <v>19</v>
      </c>
      <c r="L343" s="1">
        <v>44614</v>
      </c>
      <c r="M343" s="2" t="s">
        <v>287</v>
      </c>
      <c r="N343" t="s">
        <v>20</v>
      </c>
      <c r="O343" t="s">
        <v>21</v>
      </c>
      <c r="P343" t="s">
        <v>22</v>
      </c>
    </row>
    <row r="344" spans="1:16" x14ac:dyDescent="0.25">
      <c r="A344" t="s">
        <v>16</v>
      </c>
      <c r="B344" t="s">
        <v>17</v>
      </c>
      <c r="C344" t="s">
        <v>18</v>
      </c>
      <c r="D344" s="1">
        <v>44614</v>
      </c>
      <c r="E344" s="2" t="s">
        <v>368</v>
      </c>
      <c r="F344" s="3" t="str">
        <f>HYPERLINK("https://maps.google.com/maps?q=5.08257,-75.28431&amp;ll=5.08257,-75.28431&amp;z=14.75z","Vía Bogotá D.C. - Manizales, Km 46.32 Fresno - Manizales, , Torre Veinte, Herveo, Tolima")</f>
        <v>Vía Bogotá D.C. - Manizales, Km 46.32 Fresno - Manizales, , Torre Veinte, Herveo, Tolima</v>
      </c>
      <c r="G344">
        <v>28</v>
      </c>
      <c r="H344">
        <v>138162</v>
      </c>
      <c r="I344">
        <v>-75.284310000000005</v>
      </c>
      <c r="J344">
        <v>5.0825699999999996</v>
      </c>
      <c r="K344" t="s">
        <v>23</v>
      </c>
      <c r="L344" s="1">
        <v>44614</v>
      </c>
      <c r="M344" s="2" t="s">
        <v>368</v>
      </c>
      <c r="N344" t="s">
        <v>20</v>
      </c>
      <c r="O344" t="s">
        <v>21</v>
      </c>
      <c r="P344" t="s">
        <v>22</v>
      </c>
    </row>
    <row r="345" spans="1:16" x14ac:dyDescent="0.25">
      <c r="A345" t="s">
        <v>16</v>
      </c>
      <c r="B345" t="s">
        <v>17</v>
      </c>
      <c r="C345" t="s">
        <v>18</v>
      </c>
      <c r="D345" s="1">
        <v>44614</v>
      </c>
      <c r="E345" s="2" t="s">
        <v>368</v>
      </c>
      <c r="F345" s="3" t="str">
        <f>HYPERLINK("https://maps.google.com/maps?q=5.08257,-75.28431&amp;ll=5.08257,-75.28431&amp;z=14.75z","Vía Bogotá D.C. - Manizales, Km 46.32 Fresno - Manizales, , Torre Veinte, Herveo, Tolima")</f>
        <v>Vía Bogotá D.C. - Manizales, Km 46.32 Fresno - Manizales, , Torre Veinte, Herveo, Tolima</v>
      </c>
      <c r="G345">
        <v>28</v>
      </c>
      <c r="H345">
        <v>138162</v>
      </c>
      <c r="I345">
        <v>-75.284310000000005</v>
      </c>
      <c r="J345">
        <v>5.0825699999999996</v>
      </c>
      <c r="K345" t="s">
        <v>23</v>
      </c>
      <c r="L345" s="1">
        <v>44614</v>
      </c>
      <c r="M345" s="2" t="s">
        <v>369</v>
      </c>
      <c r="N345" t="s">
        <v>20</v>
      </c>
      <c r="O345" t="s">
        <v>21</v>
      </c>
      <c r="P345" t="s">
        <v>22</v>
      </c>
    </row>
    <row r="346" spans="1:16" x14ac:dyDescent="0.25">
      <c r="A346" t="s">
        <v>16</v>
      </c>
      <c r="B346" t="s">
        <v>17</v>
      </c>
      <c r="C346" t="s">
        <v>18</v>
      </c>
      <c r="D346" s="1">
        <v>44614</v>
      </c>
      <c r="E346" s="2" t="s">
        <v>368</v>
      </c>
      <c r="F346" s="3" t="str">
        <f>HYPERLINK("https://maps.google.com/maps?q=5.08561,-75.28045&amp;ll=5.08561,-75.28045&amp;z=14.75z","Vía Bogotá D.C. - Manizales, Km 45.75 Fresno - Manizales, , Torre Veinte, Herveo, Tolima")</f>
        <v>Vía Bogotá D.C. - Manizales, Km 45.75 Fresno - Manizales, , Torre Veinte, Herveo, Tolima</v>
      </c>
      <c r="G346">
        <v>35</v>
      </c>
      <c r="H346">
        <v>138162</v>
      </c>
      <c r="I346">
        <v>-75.280450000000002</v>
      </c>
      <c r="J346">
        <v>5.08561</v>
      </c>
      <c r="K346" t="s">
        <v>23</v>
      </c>
      <c r="L346" s="1">
        <v>44614</v>
      </c>
      <c r="M346" s="2" t="s">
        <v>370</v>
      </c>
      <c r="N346" t="s">
        <v>20</v>
      </c>
      <c r="O346" t="s">
        <v>21</v>
      </c>
      <c r="P346" t="s">
        <v>22</v>
      </c>
    </row>
    <row r="347" spans="1:16" x14ac:dyDescent="0.25">
      <c r="A347" t="s">
        <v>16</v>
      </c>
      <c r="B347" t="s">
        <v>17</v>
      </c>
      <c r="C347" t="s">
        <v>18</v>
      </c>
      <c r="D347" s="1">
        <v>44614</v>
      </c>
      <c r="E347" s="2" t="s">
        <v>369</v>
      </c>
      <c r="F347" s="3" t="str">
        <f>HYPERLINK("https://maps.google.com/maps?q=5.08861,-75.28062&amp;ll=5.08861,-75.28062&amp;z=14.75z","Vía Bogotá D.C. - Manizales, Km 45.24 Fresno - Manizales, , Torre Veinte, Herveo, Tolima")</f>
        <v>Vía Bogotá D.C. - Manizales, Km 45.24 Fresno - Manizales, , Torre Veinte, Herveo, Tolima</v>
      </c>
      <c r="G347">
        <v>30</v>
      </c>
      <c r="H347">
        <v>138163</v>
      </c>
      <c r="I347">
        <v>-75.280619999999999</v>
      </c>
      <c r="J347">
        <v>5.0886100000000001</v>
      </c>
      <c r="K347" t="s">
        <v>41</v>
      </c>
      <c r="L347" s="1">
        <v>44614</v>
      </c>
      <c r="M347" s="2" t="s">
        <v>370</v>
      </c>
      <c r="N347" t="s">
        <v>20</v>
      </c>
      <c r="O347" t="s">
        <v>21</v>
      </c>
      <c r="P347" t="s">
        <v>22</v>
      </c>
    </row>
    <row r="348" spans="1:16" x14ac:dyDescent="0.25">
      <c r="A348" t="s">
        <v>16</v>
      </c>
      <c r="B348" t="s">
        <v>17</v>
      </c>
      <c r="C348" t="s">
        <v>18</v>
      </c>
      <c r="D348" s="1">
        <v>44614</v>
      </c>
      <c r="E348" s="2" t="s">
        <v>370</v>
      </c>
      <c r="F348" s="3" t="str">
        <f>HYPERLINK("https://maps.google.com/maps?q=5.09118,-75.27785&amp;ll=5.09118,-75.27785&amp;z=14.75z","Vía Bogotá D.C. - Manizales, Km 44.76 Fresno - Manizales, , Delgaditas, Herveo, Tolima")</f>
        <v>Vía Bogotá D.C. - Manizales, Km 44.76 Fresno - Manizales, , Delgaditas, Herveo, Tolima</v>
      </c>
      <c r="G348">
        <v>31</v>
      </c>
      <c r="H348">
        <v>138163</v>
      </c>
      <c r="I348">
        <v>-75.277850000000001</v>
      </c>
      <c r="J348">
        <v>5.0911799999999996</v>
      </c>
      <c r="K348" t="s">
        <v>23</v>
      </c>
      <c r="L348" s="1">
        <v>44614</v>
      </c>
      <c r="M348" s="2" t="s">
        <v>288</v>
      </c>
      <c r="N348" t="s">
        <v>20</v>
      </c>
      <c r="O348" t="s">
        <v>21</v>
      </c>
      <c r="P348" t="s">
        <v>22</v>
      </c>
    </row>
    <row r="349" spans="1:16" x14ac:dyDescent="0.25">
      <c r="A349" t="s">
        <v>16</v>
      </c>
      <c r="B349" t="s">
        <v>17</v>
      </c>
      <c r="C349" t="s">
        <v>18</v>
      </c>
      <c r="D349" s="1">
        <v>44614</v>
      </c>
      <c r="E349" s="2" t="s">
        <v>288</v>
      </c>
      <c r="F349" s="3" t="str">
        <f>HYPERLINK("https://maps.google.com/maps?q=5.0944,-75.2785&amp;ll=5.0944,-75.2785&amp;z=14.75z","Vía Bogotá D.C. - Manizales, Km 44.34 Fresno - Manizales, , Delgaditas, Herveo, Tolima")</f>
        <v>Vía Bogotá D.C. - Manizales, Km 44.34 Fresno - Manizales, , Delgaditas, Herveo, Tolima</v>
      </c>
      <c r="G349">
        <v>22</v>
      </c>
      <c r="H349">
        <v>138164</v>
      </c>
      <c r="I349">
        <v>-75.278499999999994</v>
      </c>
      <c r="J349">
        <v>5.0944000000000003</v>
      </c>
      <c r="K349" t="s">
        <v>23</v>
      </c>
      <c r="L349" s="1">
        <v>44614</v>
      </c>
      <c r="M349" s="2" t="s">
        <v>288</v>
      </c>
      <c r="N349" t="s">
        <v>20</v>
      </c>
      <c r="O349" t="s">
        <v>21</v>
      </c>
      <c r="P349" t="s">
        <v>22</v>
      </c>
    </row>
    <row r="350" spans="1:16" x14ac:dyDescent="0.25">
      <c r="A350" t="s">
        <v>16</v>
      </c>
      <c r="B350" t="s">
        <v>17</v>
      </c>
      <c r="C350" t="s">
        <v>18</v>
      </c>
      <c r="D350" s="1">
        <v>44614</v>
      </c>
      <c r="E350" s="2" t="s">
        <v>371</v>
      </c>
      <c r="F350" s="3" t="str">
        <f>HYPERLINK("https://maps.google.com/maps?q=5.09589,-75.27802&amp;ll=5.09589,-75.27802&amp;z=14.75z","Vía Bogotá D.C. - Manizales, Km 43.91 Fresno - Manizales, , Delgaditas, Herveo, Tolima")</f>
        <v>Vía Bogotá D.C. - Manizales, Km 43.91 Fresno - Manizales, , Delgaditas, Herveo, Tolima</v>
      </c>
      <c r="G350">
        <v>30</v>
      </c>
      <c r="H350">
        <v>138164</v>
      </c>
      <c r="I350">
        <v>-75.278019999999998</v>
      </c>
      <c r="J350">
        <v>5.0958899999999998</v>
      </c>
      <c r="K350" t="s">
        <v>41</v>
      </c>
      <c r="L350" s="1">
        <v>44614</v>
      </c>
      <c r="M350" s="2" t="s">
        <v>372</v>
      </c>
      <c r="N350" t="s">
        <v>20</v>
      </c>
      <c r="O350" t="s">
        <v>21</v>
      </c>
      <c r="P350" t="s">
        <v>22</v>
      </c>
    </row>
    <row r="351" spans="1:16" x14ac:dyDescent="0.25">
      <c r="A351" t="s">
        <v>16</v>
      </c>
      <c r="B351" t="s">
        <v>17</v>
      </c>
      <c r="C351" t="s">
        <v>18</v>
      </c>
      <c r="D351" s="1">
        <v>44614</v>
      </c>
      <c r="E351" s="2" t="s">
        <v>372</v>
      </c>
      <c r="F351" s="3" t="str">
        <f>HYPERLINK("https://maps.google.com/maps?q=5.09898,-75.27731&amp;ll=5.09898,-75.27731&amp;z=14.75z","Vía Bogotá D.C. - Manizales, Km 43.41 Fresno - Manizales, , Delgaditas, Herveo, Tolima")</f>
        <v>Vía Bogotá D.C. - Manizales, Km 43.41 Fresno - Manizales, , Delgaditas, Herveo, Tolima</v>
      </c>
      <c r="G351">
        <v>32</v>
      </c>
      <c r="H351">
        <v>138165</v>
      </c>
      <c r="I351">
        <v>-75.27731</v>
      </c>
      <c r="J351">
        <v>5.0989800000000001</v>
      </c>
      <c r="K351" t="s">
        <v>23</v>
      </c>
      <c r="L351" s="1">
        <v>44614</v>
      </c>
      <c r="M351" s="2" t="s">
        <v>372</v>
      </c>
      <c r="N351" t="s">
        <v>20</v>
      </c>
      <c r="O351" t="s">
        <v>21</v>
      </c>
      <c r="P351" t="s">
        <v>22</v>
      </c>
    </row>
    <row r="352" spans="1:16" x14ac:dyDescent="0.25">
      <c r="A352" t="s">
        <v>16</v>
      </c>
      <c r="B352" t="s">
        <v>17</v>
      </c>
      <c r="C352" t="s">
        <v>18</v>
      </c>
      <c r="D352" s="1">
        <v>44614</v>
      </c>
      <c r="E352" s="2" t="s">
        <v>373</v>
      </c>
      <c r="F352" s="3" t="str">
        <f>HYPERLINK("https://maps.google.com/maps?q=5.10093,-75.27687&amp;ll=5.10093,-75.27687&amp;z=14.75z","Vía Bogotá D.C. - Manizales, Km 42.95 Fresno - Manizales, , Delgaditas, Herveo, Tolima")</f>
        <v>Vía Bogotá D.C. - Manizales, Km 42.95 Fresno - Manizales, , Delgaditas, Herveo, Tolima</v>
      </c>
      <c r="G352">
        <v>26</v>
      </c>
      <c r="H352">
        <v>138165</v>
      </c>
      <c r="I352">
        <v>-75.276870000000002</v>
      </c>
      <c r="J352">
        <v>5.10093</v>
      </c>
      <c r="K352" t="s">
        <v>24</v>
      </c>
      <c r="L352" s="1">
        <v>44614</v>
      </c>
      <c r="M352" s="2" t="s">
        <v>373</v>
      </c>
      <c r="N352" t="s">
        <v>20</v>
      </c>
      <c r="O352" t="s">
        <v>21</v>
      </c>
      <c r="P352" t="s">
        <v>22</v>
      </c>
    </row>
    <row r="353" spans="1:16" x14ac:dyDescent="0.25">
      <c r="A353" t="s">
        <v>16</v>
      </c>
      <c r="B353" t="s">
        <v>17</v>
      </c>
      <c r="C353" t="s">
        <v>18</v>
      </c>
      <c r="D353" s="1">
        <v>44614</v>
      </c>
      <c r="E353" s="2" t="s">
        <v>374</v>
      </c>
      <c r="F353" s="3" t="str">
        <f>HYPERLINK("https://maps.google.com/maps?q=5.10282,-75.27711&amp;ll=5.10282,-75.27711&amp;z=14.75z","Vía Bogotá D.C. - Manizales, Km 42.49 Fresno - Manizales, , Delgaditas, Herveo, Tolima")</f>
        <v>Vía Bogotá D.C. - Manizales, Km 42.49 Fresno - Manizales, , Delgaditas, Herveo, Tolima</v>
      </c>
      <c r="G353">
        <v>19</v>
      </c>
      <c r="H353">
        <v>138166</v>
      </c>
      <c r="I353">
        <v>-75.277109999999993</v>
      </c>
      <c r="J353">
        <v>5.1028200000000004</v>
      </c>
      <c r="K353" t="s">
        <v>23</v>
      </c>
      <c r="L353" s="1">
        <v>44614</v>
      </c>
      <c r="M353" s="2" t="s">
        <v>374</v>
      </c>
      <c r="N353" t="s">
        <v>20</v>
      </c>
      <c r="O353" t="s">
        <v>21</v>
      </c>
      <c r="P353" t="s">
        <v>22</v>
      </c>
    </row>
    <row r="354" spans="1:16" x14ac:dyDescent="0.25">
      <c r="A354" t="s">
        <v>16</v>
      </c>
      <c r="B354" t="s">
        <v>17</v>
      </c>
      <c r="C354" t="s">
        <v>18</v>
      </c>
      <c r="D354" s="1">
        <v>44614</v>
      </c>
      <c r="E354" s="2" t="s">
        <v>375</v>
      </c>
      <c r="F354" s="3" t="str">
        <f>HYPERLINK("https://maps.google.com/maps?q=5.10283,-75.27899&amp;ll=5.10283,-75.27899&amp;z=14.75z","Vía Bogotá D.C. - Manizales, Km 42.23 Fresno - Manizales, , Delgaditas, Herveo, Tolima")</f>
        <v>Vía Bogotá D.C. - Manizales, Km 42.23 Fresno - Manizales, , Delgaditas, Herveo, Tolima</v>
      </c>
      <c r="G354">
        <v>26</v>
      </c>
      <c r="H354">
        <v>138166</v>
      </c>
      <c r="I354">
        <v>-75.278989999999993</v>
      </c>
      <c r="J354">
        <v>5.10283</v>
      </c>
      <c r="K354" t="s">
        <v>23</v>
      </c>
      <c r="L354" s="1">
        <v>44614</v>
      </c>
      <c r="M354" s="2" t="s">
        <v>375</v>
      </c>
      <c r="N354" t="s">
        <v>20</v>
      </c>
      <c r="O354" t="s">
        <v>21</v>
      </c>
      <c r="P354" t="s">
        <v>22</v>
      </c>
    </row>
    <row r="355" spans="1:16" x14ac:dyDescent="0.25">
      <c r="A355" t="s">
        <v>16</v>
      </c>
      <c r="B355" t="s">
        <v>17</v>
      </c>
      <c r="C355" t="s">
        <v>18</v>
      </c>
      <c r="D355" s="1">
        <v>44614</v>
      </c>
      <c r="E355" s="2" t="s">
        <v>376</v>
      </c>
      <c r="F355" s="3" t="str">
        <f>HYPERLINK("https://maps.google.com/maps?q=5.10566,-75.27784&amp;ll=5.10566,-75.27784&amp;z=14.75z","Vía Bogotá D.C. - Manizales, Km 41.58 Fresno - Manizales, , Delgaditas, Herveo, Tolima")</f>
        <v>Vía Bogotá D.C. - Manizales, Km 41.58 Fresno - Manizales, , Delgaditas, Herveo, Tolima</v>
      </c>
      <c r="G355">
        <v>25</v>
      </c>
      <c r="H355">
        <v>138166</v>
      </c>
      <c r="I355">
        <v>-75.277839999999998</v>
      </c>
      <c r="J355">
        <v>5.1056600000000003</v>
      </c>
      <c r="K355" t="s">
        <v>41</v>
      </c>
      <c r="L355" s="1">
        <v>44614</v>
      </c>
      <c r="M355" s="2" t="s">
        <v>376</v>
      </c>
      <c r="N355" t="s">
        <v>20</v>
      </c>
      <c r="O355" t="s">
        <v>21</v>
      </c>
      <c r="P355" t="s">
        <v>22</v>
      </c>
    </row>
    <row r="356" spans="1:16" x14ac:dyDescent="0.25">
      <c r="A356" t="s">
        <v>16</v>
      </c>
      <c r="B356" t="s">
        <v>17</v>
      </c>
      <c r="C356" t="s">
        <v>18</v>
      </c>
      <c r="D356" s="1">
        <v>44614</v>
      </c>
      <c r="E356" s="2" t="s">
        <v>377</v>
      </c>
      <c r="F356" s="3" t="str">
        <f>HYPERLINK("https://maps.google.com/maps?q=5.10596,-75.27268&amp;ll=5.10596,-75.27268&amp;z=14.75z","Vía Bogotá D.C. - Manizales, Km 41.1 Fresno - Manizales, , Delgaditas, Herveo, Tolima")</f>
        <v>Vía Bogotá D.C. - Manizales, Km 41.1 Fresno - Manizales, , Delgaditas, Herveo, Tolima</v>
      </c>
      <c r="G356">
        <v>25</v>
      </c>
      <c r="H356">
        <v>138167</v>
      </c>
      <c r="I356">
        <v>-75.272679999999994</v>
      </c>
      <c r="J356">
        <v>5.1059599999999996</v>
      </c>
      <c r="K356" t="s">
        <v>41</v>
      </c>
      <c r="L356" s="1">
        <v>44614</v>
      </c>
      <c r="M356" s="2" t="s">
        <v>377</v>
      </c>
      <c r="N356" t="s">
        <v>20</v>
      </c>
      <c r="O356" t="s">
        <v>21</v>
      </c>
      <c r="P356" t="s">
        <v>22</v>
      </c>
    </row>
    <row r="357" spans="1:16" x14ac:dyDescent="0.25">
      <c r="A357" t="s">
        <v>16</v>
      </c>
      <c r="B357" t="s">
        <v>17</v>
      </c>
      <c r="C357" t="s">
        <v>18</v>
      </c>
      <c r="D357" s="1">
        <v>44614</v>
      </c>
      <c r="E357" s="2" t="s">
        <v>378</v>
      </c>
      <c r="F357" s="3" t="str">
        <f>HYPERLINK("https://maps.google.com/maps?q=5.10805,-75.27076&amp;ll=5.10805,-75.27076&amp;z=14.75z","Vía Bogotá D.C. - Manizales, Km 40.63 Fresno - Manizales, , Brasil, Herveo, Tolima")</f>
        <v>Vía Bogotá D.C. - Manizales, Km 40.63 Fresno - Manizales, , Brasil, Herveo, Tolima</v>
      </c>
      <c r="G357">
        <v>32</v>
      </c>
      <c r="H357">
        <v>138168</v>
      </c>
      <c r="I357">
        <v>-75.270759999999996</v>
      </c>
      <c r="J357">
        <v>5.1080500000000004</v>
      </c>
      <c r="K357" t="s">
        <v>23</v>
      </c>
      <c r="L357" s="1">
        <v>44614</v>
      </c>
      <c r="M357" s="2" t="s">
        <v>378</v>
      </c>
      <c r="N357" t="s">
        <v>20</v>
      </c>
      <c r="O357" t="s">
        <v>21</v>
      </c>
      <c r="P357" t="s">
        <v>22</v>
      </c>
    </row>
    <row r="358" spans="1:16" x14ac:dyDescent="0.25">
      <c r="A358" t="s">
        <v>16</v>
      </c>
      <c r="B358" t="s">
        <v>17</v>
      </c>
      <c r="C358" t="s">
        <v>18</v>
      </c>
      <c r="D358" s="1">
        <v>44614</v>
      </c>
      <c r="E358" s="2" t="s">
        <v>379</v>
      </c>
      <c r="F358" s="3" t="str">
        <f>HYPERLINK("https://maps.google.com/maps?q=5.10647,-75.26759&amp;ll=5.10647,-75.26759&amp;z=14.75z","Vía Bogotá D.C. - Manizales, Km 40.17 Fresno - Manizales, , Brasil, Herveo, Tolima")</f>
        <v>Vía Bogotá D.C. - Manizales, Km 40.17 Fresno - Manizales, , Brasil, Herveo, Tolima</v>
      </c>
      <c r="G358">
        <v>34</v>
      </c>
      <c r="H358">
        <v>138168</v>
      </c>
      <c r="I358">
        <v>-75.267589999999998</v>
      </c>
      <c r="J358">
        <v>5.1064699999999998</v>
      </c>
      <c r="K358" t="s">
        <v>41</v>
      </c>
      <c r="L358" s="1">
        <v>44614</v>
      </c>
      <c r="M358" s="2" t="s">
        <v>310</v>
      </c>
      <c r="N358" t="s">
        <v>20</v>
      </c>
      <c r="O358" t="s">
        <v>21</v>
      </c>
      <c r="P358" t="s">
        <v>22</v>
      </c>
    </row>
    <row r="359" spans="1:16" x14ac:dyDescent="0.25">
      <c r="A359" t="s">
        <v>16</v>
      </c>
      <c r="B359" t="s">
        <v>17</v>
      </c>
      <c r="C359" t="s">
        <v>18</v>
      </c>
      <c r="D359" s="1">
        <v>44614</v>
      </c>
      <c r="E359" s="2" t="s">
        <v>310</v>
      </c>
      <c r="F359" s="3" t="str">
        <f>HYPERLINK("https://maps.google.com/maps?q=5.1068,-75.26528&amp;ll=5.1068,-75.26528&amp;z=14.75z","Vía Bogotá D.C. - Manizales, Km 39.73 Fresno - Manizales, , Brasil, Herveo, Tolima")</f>
        <v>Vía Bogotá D.C. - Manizales, Km 39.73 Fresno - Manizales, , Brasil, Herveo, Tolima</v>
      </c>
      <c r="G359">
        <v>21</v>
      </c>
      <c r="H359">
        <v>138168</v>
      </c>
      <c r="I359">
        <v>-75.265280000000004</v>
      </c>
      <c r="J359">
        <v>5.1067999999999998</v>
      </c>
      <c r="K359" t="s">
        <v>41</v>
      </c>
      <c r="L359" s="1">
        <v>44614</v>
      </c>
      <c r="M359" s="2" t="s">
        <v>381</v>
      </c>
      <c r="N359" t="s">
        <v>20</v>
      </c>
      <c r="O359" t="s">
        <v>21</v>
      </c>
      <c r="P359" t="s">
        <v>22</v>
      </c>
    </row>
    <row r="360" spans="1:16" x14ac:dyDescent="0.25">
      <c r="A360" t="s">
        <v>16</v>
      </c>
      <c r="B360" t="s">
        <v>17</v>
      </c>
      <c r="C360" t="s">
        <v>18</v>
      </c>
      <c r="D360" s="1">
        <v>44614</v>
      </c>
      <c r="E360" s="2" t="s">
        <v>380</v>
      </c>
      <c r="F360" s="3" t="str">
        <f>HYPERLINK("https://maps.google.com/maps?q=5.10854,-75.26333&amp;ll=5.10854,-75.26333&amp;z=14.75z","Vía Bogotá D.C. - Manizales, Km 39.29 Fresno - Manizales, , Brasil, Herveo, Tolima")</f>
        <v>Vía Bogotá D.C. - Manizales, Km 39.29 Fresno - Manizales, , Brasil, Herveo, Tolima</v>
      </c>
      <c r="G360">
        <v>34</v>
      </c>
      <c r="H360">
        <v>138169</v>
      </c>
      <c r="I360">
        <v>-75.263329999999996</v>
      </c>
      <c r="J360">
        <v>5.1085399999999996</v>
      </c>
      <c r="K360" t="s">
        <v>33</v>
      </c>
      <c r="L360" s="1">
        <v>44614</v>
      </c>
      <c r="M360" s="2" t="s">
        <v>381</v>
      </c>
      <c r="N360" t="s">
        <v>20</v>
      </c>
      <c r="O360" t="s">
        <v>21</v>
      </c>
      <c r="P360" t="s">
        <v>22</v>
      </c>
    </row>
    <row r="361" spans="1:16" x14ac:dyDescent="0.25">
      <c r="A361" t="s">
        <v>16</v>
      </c>
      <c r="B361" t="s">
        <v>17</v>
      </c>
      <c r="C361" t="s">
        <v>18</v>
      </c>
      <c r="D361" s="1">
        <v>44614</v>
      </c>
      <c r="E361" s="2" t="s">
        <v>380</v>
      </c>
      <c r="F361" s="3" t="str">
        <f>HYPERLINK("https://maps.google.com/maps?q=5.10691,-75.26042&amp;ll=5.10691,-75.26042&amp;z=14.75z","Vía Bogotá D.C. - Manizales, Km 38.78 Fresno - Manizales, , Brasil, Herveo, Tolima")</f>
        <v>Vía Bogotá D.C. - Manizales, Km 38.78 Fresno - Manizales, , Brasil, Herveo, Tolima</v>
      </c>
      <c r="G361">
        <v>30</v>
      </c>
      <c r="H361">
        <v>138169</v>
      </c>
      <c r="I361">
        <v>-75.260419999999996</v>
      </c>
      <c r="J361">
        <v>5.1069100000000001</v>
      </c>
      <c r="K361" t="s">
        <v>41</v>
      </c>
      <c r="L361" s="1">
        <v>44614</v>
      </c>
      <c r="M361" s="2" t="s">
        <v>381</v>
      </c>
      <c r="N361" t="s">
        <v>20</v>
      </c>
      <c r="O361" t="s">
        <v>21</v>
      </c>
      <c r="P361" t="s">
        <v>22</v>
      </c>
    </row>
    <row r="362" spans="1:16" x14ac:dyDescent="0.25">
      <c r="A362" t="s">
        <v>16</v>
      </c>
      <c r="B362" t="s">
        <v>17</v>
      </c>
      <c r="C362" t="s">
        <v>18</v>
      </c>
      <c r="D362" s="1">
        <v>44614</v>
      </c>
      <c r="E362" s="2" t="s">
        <v>381</v>
      </c>
      <c r="F362" s="3" t="str">
        <f>HYPERLINK("https://maps.google.com/maps?q=5.1056,-75.25782&amp;ll=5.1056,-75.25782&amp;z=14.75z","Vía Bogotá D.C. - Manizales, Km 38.46 Fresno - Manizales, , Delgaditas, Herveo, Tolima")</f>
        <v>Vía Bogotá D.C. - Manizales, Km 38.46 Fresno - Manizales, , Delgaditas, Herveo, Tolima</v>
      </c>
      <c r="G362">
        <v>20</v>
      </c>
      <c r="H362">
        <v>138170</v>
      </c>
      <c r="I362">
        <v>-75.257819999999995</v>
      </c>
      <c r="J362">
        <v>5.1055999999999999</v>
      </c>
      <c r="K362" t="s">
        <v>31</v>
      </c>
      <c r="L362" s="1">
        <v>44614</v>
      </c>
      <c r="M362" s="2" t="s">
        <v>385</v>
      </c>
      <c r="N362" t="s">
        <v>20</v>
      </c>
      <c r="O362" t="s">
        <v>21</v>
      </c>
      <c r="P362" t="s">
        <v>22</v>
      </c>
    </row>
    <row r="363" spans="1:16" x14ac:dyDescent="0.25">
      <c r="A363" t="s">
        <v>16</v>
      </c>
      <c r="B363" t="s">
        <v>17</v>
      </c>
      <c r="C363" t="s">
        <v>18</v>
      </c>
      <c r="D363" s="1">
        <v>44614</v>
      </c>
      <c r="E363" s="2" t="s">
        <v>381</v>
      </c>
      <c r="F363" s="3" t="str">
        <f>HYPERLINK("https://maps.google.com/maps?q=5.1056,-75.25782&amp;ll=5.1056,-75.25782&amp;z=14.75z","Vía Bogotá D.C. - Manizales, Km 38.46 Fresno - Manizales, , Delgaditas, Herveo, Tolima")</f>
        <v>Vía Bogotá D.C. - Manizales, Km 38.46 Fresno - Manizales, , Delgaditas, Herveo, Tolima</v>
      </c>
      <c r="G363">
        <v>20</v>
      </c>
      <c r="H363">
        <v>138170</v>
      </c>
      <c r="I363">
        <v>-75.257819999999995</v>
      </c>
      <c r="J363">
        <v>5.1055999999999999</v>
      </c>
      <c r="K363" t="s">
        <v>31</v>
      </c>
      <c r="L363" s="1">
        <v>44614</v>
      </c>
      <c r="M363" s="2" t="s">
        <v>384</v>
      </c>
      <c r="N363" t="s">
        <v>20</v>
      </c>
      <c r="O363" t="s">
        <v>21</v>
      </c>
      <c r="P363" t="s">
        <v>22</v>
      </c>
    </row>
    <row r="364" spans="1:16" x14ac:dyDescent="0.25">
      <c r="A364" t="s">
        <v>16</v>
      </c>
      <c r="B364" t="s">
        <v>17</v>
      </c>
      <c r="C364" t="s">
        <v>18</v>
      </c>
      <c r="D364" s="1">
        <v>44614</v>
      </c>
      <c r="E364" s="2" t="s">
        <v>383</v>
      </c>
      <c r="F364" s="3" t="str">
        <f>HYPERLINK("https://maps.google.com/maps?q=5.10698,-75.25516&amp;ll=5.10698,-75.25516&amp;z=14.75z","Vía Bogotá D.C. - Manizales, Km 38.1 Fresno - Manizales, , Brasil, Herveo, Tolima")</f>
        <v>Vía Bogotá D.C. - Manizales, Km 38.1 Fresno - Manizales, , Brasil, Herveo, Tolima</v>
      </c>
      <c r="G364">
        <v>25</v>
      </c>
      <c r="H364">
        <v>138170</v>
      </c>
      <c r="I364">
        <v>-75.255160000000004</v>
      </c>
      <c r="J364">
        <v>5.1069800000000001</v>
      </c>
      <c r="K364" t="s">
        <v>41</v>
      </c>
      <c r="L364" s="1">
        <v>44614</v>
      </c>
      <c r="M364" s="2" t="s">
        <v>385</v>
      </c>
      <c r="N364" t="s">
        <v>20</v>
      </c>
      <c r="O364" t="s">
        <v>21</v>
      </c>
      <c r="P364" t="s">
        <v>22</v>
      </c>
    </row>
    <row r="365" spans="1:16" x14ac:dyDescent="0.25">
      <c r="A365" t="s">
        <v>16</v>
      </c>
      <c r="B365" t="s">
        <v>17</v>
      </c>
      <c r="C365" t="s">
        <v>18</v>
      </c>
      <c r="D365" s="1">
        <v>44614</v>
      </c>
      <c r="E365" s="2" t="s">
        <v>383</v>
      </c>
      <c r="F365" s="3" t="str">
        <f>HYPERLINK("https://maps.google.com/maps?q=5.10698,-75.25516&amp;ll=5.10698,-75.25516&amp;z=14.75z","Vía Bogotá D.C. - Manizales, Km 38.1 Fresno - Manizales, , Brasil, Herveo, Tolima")</f>
        <v>Vía Bogotá D.C. - Manizales, Km 38.1 Fresno - Manizales, , Brasil, Herveo, Tolima</v>
      </c>
      <c r="G365">
        <v>25</v>
      </c>
      <c r="H365">
        <v>138170</v>
      </c>
      <c r="I365">
        <v>-75.255160000000004</v>
      </c>
      <c r="J365">
        <v>5.1069800000000001</v>
      </c>
      <c r="K365" t="s">
        <v>41</v>
      </c>
      <c r="L365" s="1">
        <v>44614</v>
      </c>
      <c r="M365" s="2" t="s">
        <v>386</v>
      </c>
      <c r="N365" t="s">
        <v>20</v>
      </c>
      <c r="O365" t="s">
        <v>21</v>
      </c>
      <c r="P365" t="s">
        <v>22</v>
      </c>
    </row>
    <row r="366" spans="1:16" x14ac:dyDescent="0.25">
      <c r="A366" t="s">
        <v>16</v>
      </c>
      <c r="B366" t="s">
        <v>17</v>
      </c>
      <c r="C366" t="s">
        <v>18</v>
      </c>
      <c r="D366" s="1">
        <v>44614</v>
      </c>
      <c r="E366" s="2" t="s">
        <v>384</v>
      </c>
      <c r="F366" s="3" t="str">
        <f>HYPERLINK("https://maps.google.com/maps?q=5.1049,-75.25746&amp;ll=5.1049,-75.25746&amp;z=14.75z","Vía Bogotá D.C. - Manizales, Km 37.62 Fresno - Manizales, , Delgaditas, Herveo, Tolima")</f>
        <v>Vía Bogotá D.C. - Manizales, Km 37.62 Fresno - Manizales, , Delgaditas, Herveo, Tolima</v>
      </c>
      <c r="G366">
        <v>29</v>
      </c>
      <c r="H366">
        <v>138170</v>
      </c>
      <c r="I366">
        <v>-75.257459999999995</v>
      </c>
      <c r="J366">
        <v>5.1048999999999998</v>
      </c>
      <c r="K366" t="s">
        <v>29</v>
      </c>
      <c r="L366" s="1">
        <v>44614</v>
      </c>
      <c r="M366" s="2" t="s">
        <v>397</v>
      </c>
      <c r="N366" t="s">
        <v>20</v>
      </c>
      <c r="O366" t="s">
        <v>21</v>
      </c>
      <c r="P366" t="s">
        <v>22</v>
      </c>
    </row>
    <row r="367" spans="1:16" x14ac:dyDescent="0.25">
      <c r="A367" t="s">
        <v>16</v>
      </c>
      <c r="B367" t="s">
        <v>17</v>
      </c>
      <c r="C367" t="s">
        <v>18</v>
      </c>
      <c r="D367" s="1">
        <v>44614</v>
      </c>
      <c r="E367" s="2" t="s">
        <v>385</v>
      </c>
      <c r="F367" s="3" t="str">
        <f>HYPERLINK("https://maps.google.com/maps?q=5.10572,-75.25491&amp;ll=5.10572,-75.25491&amp;z=14.75z","Vía Bogotá D.C. - Manizales, Km 37.16 Fresno - Manizales, , Brasil, Herveo, Tolima")</f>
        <v>Vía Bogotá D.C. - Manizales, Km 37.16 Fresno - Manizales, , Brasil, Herveo, Tolima</v>
      </c>
      <c r="G367">
        <v>32</v>
      </c>
      <c r="H367">
        <v>138171</v>
      </c>
      <c r="I367">
        <v>-75.254909999999995</v>
      </c>
      <c r="J367">
        <v>5.1057199999999998</v>
      </c>
      <c r="K367" t="s">
        <v>33</v>
      </c>
      <c r="L367" s="1">
        <v>44614</v>
      </c>
      <c r="M367" s="2" t="s">
        <v>397</v>
      </c>
      <c r="N367" t="s">
        <v>20</v>
      </c>
      <c r="O367" t="s">
        <v>21</v>
      </c>
      <c r="P367" t="s">
        <v>22</v>
      </c>
    </row>
    <row r="368" spans="1:16" x14ac:dyDescent="0.25">
      <c r="A368" t="s">
        <v>16</v>
      </c>
      <c r="B368" t="s">
        <v>17</v>
      </c>
      <c r="C368" t="s">
        <v>18</v>
      </c>
      <c r="D368" s="1">
        <v>44614</v>
      </c>
      <c r="E368" s="2" t="s">
        <v>386</v>
      </c>
      <c r="F368" s="3" t="str">
        <f>HYPERLINK("https://maps.google.com/maps?q=5.10581,-75.25128&amp;ll=5.10581,-75.25128&amp;z=14.75z","Vía Bogotá D.C. - Manizales, Km 36.71 Fresno - Manizales, , Delgaditas, Herveo, Tolima")</f>
        <v>Vía Bogotá D.C. - Manizales, Km 36.71 Fresno - Manizales, , Delgaditas, Herveo, Tolima</v>
      </c>
      <c r="G368">
        <v>31</v>
      </c>
      <c r="H368">
        <v>138171</v>
      </c>
      <c r="I368">
        <v>-75.251279999999994</v>
      </c>
      <c r="J368">
        <v>5.10581</v>
      </c>
      <c r="K368" t="s">
        <v>33</v>
      </c>
      <c r="L368" s="1">
        <v>44614</v>
      </c>
      <c r="M368" s="2" t="s">
        <v>397</v>
      </c>
      <c r="N368" t="s">
        <v>20</v>
      </c>
      <c r="O368" t="s">
        <v>21</v>
      </c>
      <c r="P368" t="s">
        <v>22</v>
      </c>
    </row>
    <row r="369" spans="1:16" x14ac:dyDescent="0.25">
      <c r="A369" t="s">
        <v>16</v>
      </c>
      <c r="B369" t="s">
        <v>17</v>
      </c>
      <c r="C369" t="s">
        <v>18</v>
      </c>
      <c r="D369" s="1">
        <v>44614</v>
      </c>
      <c r="E369" s="2" t="s">
        <v>387</v>
      </c>
      <c r="F369" s="3" t="str">
        <f>HYPERLINK("https://maps.google.com/maps?q=5.10505,-75.24725&amp;ll=5.10505,-75.24725&amp;z=14.75z","Vía Bogotá D.C. - Manizales, Km 36.21 Fresno - Manizales, , Delgaditas, Herveo, Tolima")</f>
        <v>Vía Bogotá D.C. - Manizales, Km 36.21 Fresno - Manizales, , Delgaditas, Herveo, Tolima</v>
      </c>
      <c r="G369">
        <v>27</v>
      </c>
      <c r="H369">
        <v>138172</v>
      </c>
      <c r="I369">
        <v>-75.247249999999994</v>
      </c>
      <c r="J369">
        <v>5.1050500000000003</v>
      </c>
      <c r="K369" t="s">
        <v>33</v>
      </c>
      <c r="L369" s="1">
        <v>44614</v>
      </c>
      <c r="M369" s="2" t="s">
        <v>397</v>
      </c>
      <c r="N369" t="s">
        <v>20</v>
      </c>
      <c r="O369" t="s">
        <v>21</v>
      </c>
      <c r="P369" t="s">
        <v>22</v>
      </c>
    </row>
    <row r="370" spans="1:16" x14ac:dyDescent="0.25">
      <c r="A370" t="s">
        <v>16</v>
      </c>
      <c r="B370" t="s">
        <v>17</v>
      </c>
      <c r="C370" t="s">
        <v>18</v>
      </c>
      <c r="D370" s="1">
        <v>44614</v>
      </c>
      <c r="E370" s="2" t="s">
        <v>737</v>
      </c>
      <c r="F370" s="3" t="str">
        <f>HYPERLINK("https://maps.google.com/maps?q=5.1054,-75.24386&amp;ll=5.1054,-75.24386&amp;z=14.75z","Vía Bogotá D.C. - Manizales, Km 35.76 Fresno - Manizales, , Brasil, Herveo, Tolima")</f>
        <v>Vía Bogotá D.C. - Manizales, Km 35.76 Fresno - Manizales, , Brasil, Herveo, Tolima</v>
      </c>
      <c r="G370">
        <v>30</v>
      </c>
      <c r="H370">
        <v>138172</v>
      </c>
      <c r="I370">
        <v>-75.243859999999998</v>
      </c>
      <c r="J370">
        <v>5.1054000000000004</v>
      </c>
      <c r="K370" t="s">
        <v>24</v>
      </c>
      <c r="L370" s="1">
        <v>44614</v>
      </c>
      <c r="M370" s="2" t="s">
        <v>397</v>
      </c>
      <c r="N370" t="s">
        <v>20</v>
      </c>
      <c r="O370" t="s">
        <v>21</v>
      </c>
      <c r="P370" t="s">
        <v>22</v>
      </c>
    </row>
    <row r="371" spans="1:16" x14ac:dyDescent="0.25">
      <c r="A371" t="s">
        <v>16</v>
      </c>
      <c r="B371" t="s">
        <v>17</v>
      </c>
      <c r="C371" t="s">
        <v>18</v>
      </c>
      <c r="D371" s="1">
        <v>44614</v>
      </c>
      <c r="E371" s="2" t="s">
        <v>388</v>
      </c>
      <c r="F371" s="3" t="str">
        <f>HYPERLINK("https://maps.google.com/maps?q=5.10312,-75.24081&amp;ll=5.10312,-75.24081&amp;z=14.75z","Vía Bogotá D.C. - Manizales, Km 35.3 Fresno - Manizales, , Delgaditas, Herveo, Tolima")</f>
        <v>Vía Bogotá D.C. - Manizales, Km 35.3 Fresno - Manizales, , Delgaditas, Herveo, Tolima</v>
      </c>
      <c r="G371">
        <v>34</v>
      </c>
      <c r="H371">
        <v>138173</v>
      </c>
      <c r="I371">
        <v>-75.240809999999996</v>
      </c>
      <c r="J371">
        <v>5.1031199999999997</v>
      </c>
      <c r="K371" t="s">
        <v>33</v>
      </c>
      <c r="L371" s="1">
        <v>44614</v>
      </c>
      <c r="M371" s="2" t="s">
        <v>397</v>
      </c>
      <c r="N371" t="s">
        <v>20</v>
      </c>
      <c r="O371" t="s">
        <v>21</v>
      </c>
      <c r="P371" t="s">
        <v>22</v>
      </c>
    </row>
    <row r="372" spans="1:16" x14ac:dyDescent="0.25">
      <c r="A372" t="s">
        <v>16</v>
      </c>
      <c r="B372" t="s">
        <v>17</v>
      </c>
      <c r="C372" t="s">
        <v>18</v>
      </c>
      <c r="D372" s="1">
        <v>44614</v>
      </c>
      <c r="E372" s="2" t="s">
        <v>389</v>
      </c>
      <c r="F372" s="3" t="str">
        <f>HYPERLINK("https://maps.google.com/maps?q=5.10051,-75.23776&amp;ll=5.10051,-75.23776&amp;z=14.75z","Vía Bogotá D.C. - Manizales, Km 34.69 Fresno - Manizales, , Delgaditas, Herveo, Tolima")</f>
        <v>Vía Bogotá D.C. - Manizales, Km 34.69 Fresno - Manizales, , Delgaditas, Herveo, Tolima</v>
      </c>
      <c r="G372">
        <v>40</v>
      </c>
      <c r="H372">
        <v>138173</v>
      </c>
      <c r="I372">
        <v>-75.237759999999994</v>
      </c>
      <c r="J372">
        <v>5.1005099999999999</v>
      </c>
      <c r="K372" t="s">
        <v>33</v>
      </c>
      <c r="L372" s="1">
        <v>44614</v>
      </c>
      <c r="M372" s="2" t="s">
        <v>397</v>
      </c>
      <c r="N372" t="s">
        <v>20</v>
      </c>
      <c r="O372" t="s">
        <v>21</v>
      </c>
      <c r="P372" t="s">
        <v>22</v>
      </c>
    </row>
    <row r="373" spans="1:16" x14ac:dyDescent="0.25">
      <c r="A373" t="s">
        <v>16</v>
      </c>
      <c r="B373" t="s">
        <v>17</v>
      </c>
      <c r="C373" t="s">
        <v>18</v>
      </c>
      <c r="D373" s="1">
        <v>44614</v>
      </c>
      <c r="E373" s="2" t="s">
        <v>390</v>
      </c>
      <c r="F373" s="3" t="str">
        <f>HYPERLINK("https://maps.google.com/maps?q=5.09884,-75.23432&amp;ll=5.09884,-75.23432&amp;z=14.75z","Vía Bogotá D.C. - Manizales, Km 34.25 Fresno - Manizales, , Delgaditas, Herveo, Tolima")</f>
        <v>Vía Bogotá D.C. - Manizales, Km 34.25 Fresno - Manizales, , Delgaditas, Herveo, Tolima</v>
      </c>
      <c r="G373">
        <v>29</v>
      </c>
      <c r="H373">
        <v>138174</v>
      </c>
      <c r="I373">
        <v>-75.234319999999997</v>
      </c>
      <c r="J373">
        <v>5.09884</v>
      </c>
      <c r="K373" t="s">
        <v>24</v>
      </c>
      <c r="L373" s="1">
        <v>44614</v>
      </c>
      <c r="M373" s="2" t="s">
        <v>398</v>
      </c>
      <c r="N373" t="s">
        <v>20</v>
      </c>
      <c r="O373" t="s">
        <v>21</v>
      </c>
      <c r="P373" t="s">
        <v>22</v>
      </c>
    </row>
    <row r="374" spans="1:16" x14ac:dyDescent="0.25">
      <c r="A374" t="s">
        <v>16</v>
      </c>
      <c r="B374" t="s">
        <v>17</v>
      </c>
      <c r="C374" t="s">
        <v>18</v>
      </c>
      <c r="D374" s="1">
        <v>44614</v>
      </c>
      <c r="E374" s="2" t="s">
        <v>391</v>
      </c>
      <c r="F374" s="3" t="str">
        <f>HYPERLINK("https://maps.google.com/maps?q=5.10012,-75.23115&amp;ll=5.10012,-75.23115&amp;z=14.75z","Vía Bogotá D.C. - Manizales, Km 33.8 Fresno - Manizales, , Delgaditas, Herveo, Tolima")</f>
        <v>Vía Bogotá D.C. - Manizales, Km 33.8 Fresno - Manizales, , Delgaditas, Herveo, Tolima</v>
      </c>
      <c r="G374">
        <v>24</v>
      </c>
      <c r="H374">
        <v>138174</v>
      </c>
      <c r="I374">
        <v>-75.23115</v>
      </c>
      <c r="J374">
        <v>5.1001200000000004</v>
      </c>
      <c r="K374" t="s">
        <v>41</v>
      </c>
      <c r="L374" s="1">
        <v>44614</v>
      </c>
      <c r="M374" s="2" t="s">
        <v>398</v>
      </c>
      <c r="N374" t="s">
        <v>20</v>
      </c>
      <c r="O374" t="s">
        <v>21</v>
      </c>
      <c r="P374" t="s">
        <v>22</v>
      </c>
    </row>
    <row r="375" spans="1:16" x14ac:dyDescent="0.25">
      <c r="A375" t="s">
        <v>16</v>
      </c>
      <c r="B375" t="s">
        <v>17</v>
      </c>
      <c r="C375" t="s">
        <v>18</v>
      </c>
      <c r="D375" s="1">
        <v>44614</v>
      </c>
      <c r="E375" s="2" t="s">
        <v>392</v>
      </c>
      <c r="F375" s="3" t="str">
        <f>HYPERLINK("https://maps.google.com/maps?q=5.10138,-75.22862&amp;ll=5.10138,-75.22862&amp;z=14.75z","Vía Bogotá D.C. - Manizales, Km 33.43 Fresno - Manizales, , Delgaditas, Herveo, Tolima")</f>
        <v>Vía Bogotá D.C. - Manizales, Km 33.43 Fresno - Manizales, , Delgaditas, Herveo, Tolima</v>
      </c>
      <c r="G375">
        <v>24</v>
      </c>
      <c r="H375">
        <v>138175</v>
      </c>
      <c r="I375">
        <v>-75.228620000000006</v>
      </c>
      <c r="J375">
        <v>5.1013799999999998</v>
      </c>
      <c r="K375" t="s">
        <v>23</v>
      </c>
      <c r="L375" s="1">
        <v>44614</v>
      </c>
      <c r="M375" s="2" t="s">
        <v>398</v>
      </c>
      <c r="N375" t="s">
        <v>20</v>
      </c>
      <c r="O375" t="s">
        <v>21</v>
      </c>
      <c r="P375" t="s">
        <v>22</v>
      </c>
    </row>
    <row r="376" spans="1:16" x14ac:dyDescent="0.25">
      <c r="A376" t="s">
        <v>16</v>
      </c>
      <c r="B376" t="s">
        <v>17</v>
      </c>
      <c r="C376" t="s">
        <v>18</v>
      </c>
      <c r="D376" s="1">
        <v>44614</v>
      </c>
      <c r="E376" s="2" t="s">
        <v>393</v>
      </c>
      <c r="F376" s="3" t="str">
        <f>HYPERLINK("https://maps.google.com/maps?q=5.10422,-75.22782&amp;ll=5.10422,-75.22782&amp;z=14.75z","Vía Bogotá D.C. - Manizales, Km 33.07 Fresno - Manizales, , Delgaditas, Herveo, Tolima")</f>
        <v>Vía Bogotá D.C. - Manizales, Km 33.07 Fresno - Manizales, , Delgaditas, Herveo, Tolima</v>
      </c>
      <c r="G376">
        <v>22</v>
      </c>
      <c r="H376">
        <v>138175</v>
      </c>
      <c r="I376">
        <v>-75.227819999999994</v>
      </c>
      <c r="J376">
        <v>5.1042199999999998</v>
      </c>
      <c r="K376" t="s">
        <v>23</v>
      </c>
      <c r="L376" s="1">
        <v>44614</v>
      </c>
      <c r="M376" s="2" t="s">
        <v>398</v>
      </c>
      <c r="N376" t="s">
        <v>20</v>
      </c>
      <c r="O376" t="s">
        <v>21</v>
      </c>
      <c r="P376" t="s">
        <v>22</v>
      </c>
    </row>
    <row r="377" spans="1:16" x14ac:dyDescent="0.25">
      <c r="A377" t="s">
        <v>16</v>
      </c>
      <c r="B377" t="s">
        <v>17</v>
      </c>
      <c r="C377" t="s">
        <v>18</v>
      </c>
      <c r="D377" s="1">
        <v>44614</v>
      </c>
      <c r="E377" s="2" t="s">
        <v>382</v>
      </c>
      <c r="F377" s="3" t="str">
        <f>HYPERLINK("https://maps.google.com/maps?q=5.1068,-75.22556&amp;ll=5.1068,-75.22556&amp;z=14.75z","Vía Bogotá D.C. - Manizales, Km 32.62 Fresno - Manizales, , La Granja, Herveo, Tolima")</f>
        <v>Vía Bogotá D.C. - Manizales, Km 32.62 Fresno - Manizales, , La Granja, Herveo, Tolima</v>
      </c>
      <c r="G377">
        <v>33</v>
      </c>
      <c r="H377">
        <v>138175</v>
      </c>
      <c r="I377">
        <v>-75.225560000000002</v>
      </c>
      <c r="J377">
        <v>5.1067999999999998</v>
      </c>
      <c r="K377" t="s">
        <v>24</v>
      </c>
      <c r="L377" s="1">
        <v>44614</v>
      </c>
      <c r="M377" s="2" t="s">
        <v>398</v>
      </c>
      <c r="N377" t="s">
        <v>20</v>
      </c>
      <c r="O377" t="s">
        <v>21</v>
      </c>
      <c r="P377" t="s">
        <v>22</v>
      </c>
    </row>
    <row r="378" spans="1:16" x14ac:dyDescent="0.25">
      <c r="A378" t="s">
        <v>16</v>
      </c>
      <c r="B378" t="s">
        <v>17</v>
      </c>
      <c r="C378" t="s">
        <v>18</v>
      </c>
      <c r="D378" s="1">
        <v>44614</v>
      </c>
      <c r="E378" s="2" t="s">
        <v>382</v>
      </c>
      <c r="F378" s="3" t="str">
        <f>HYPERLINK("https://maps.google.com/maps?q=5.10807,-75.2235&amp;ll=5.10807,-75.2235&amp;z=14.75z","Vía Bogotá D.C. - Manizales, Km 32.18 Fresno - Manizales, , La Granja, Herveo, Tolima")</f>
        <v>Vía Bogotá D.C. - Manizales, Km 32.18 Fresno - Manizales, , La Granja, Herveo, Tolima</v>
      </c>
      <c r="G378">
        <v>17</v>
      </c>
      <c r="H378">
        <v>138176</v>
      </c>
      <c r="I378">
        <v>-75.223500000000001</v>
      </c>
      <c r="J378">
        <v>5.1080699999999997</v>
      </c>
      <c r="K378" t="s">
        <v>31</v>
      </c>
      <c r="L378" s="1">
        <v>44614</v>
      </c>
      <c r="M378" s="2" t="s">
        <v>398</v>
      </c>
      <c r="N378" t="s">
        <v>20</v>
      </c>
      <c r="O378" t="s">
        <v>21</v>
      </c>
      <c r="P378" t="s">
        <v>22</v>
      </c>
    </row>
    <row r="379" spans="1:16" x14ac:dyDescent="0.25">
      <c r="A379" t="s">
        <v>16</v>
      </c>
      <c r="B379" t="s">
        <v>114</v>
      </c>
      <c r="C379" t="s">
        <v>18</v>
      </c>
      <c r="D379" s="1">
        <v>44614</v>
      </c>
      <c r="E379" s="2" t="s">
        <v>394</v>
      </c>
      <c r="F379" s="3" t="str">
        <f>HYPERLINK("https://maps.google.com/maps?q=5.10933,-75.22097&amp;ll=5.10933,-75.22097&amp;z=14.75z","Vía Bogotá D.C. - Manizales, Km 31.82 Fresno - Manizales, , La Granja, Herveo, Tolima")</f>
        <v>Vía Bogotá D.C. - Manizales, Km 31.82 Fresno - Manizales, , La Granja, Herveo, Tolima</v>
      </c>
      <c r="G379">
        <v>0</v>
      </c>
      <c r="H379">
        <v>138176</v>
      </c>
      <c r="I379">
        <v>-75.220969999999994</v>
      </c>
      <c r="J379">
        <v>5.1093299999999999</v>
      </c>
      <c r="K379" t="s">
        <v>24</v>
      </c>
      <c r="L379" s="1">
        <v>44614</v>
      </c>
      <c r="M379" s="2" t="s">
        <v>398</v>
      </c>
      <c r="N379" t="s">
        <v>20</v>
      </c>
      <c r="O379" t="s">
        <v>21</v>
      </c>
      <c r="P379" t="s">
        <v>22</v>
      </c>
    </row>
    <row r="380" spans="1:16" x14ac:dyDescent="0.25">
      <c r="A380" t="s">
        <v>16</v>
      </c>
      <c r="B380" t="s">
        <v>114</v>
      </c>
      <c r="C380" t="s">
        <v>18</v>
      </c>
      <c r="D380" s="1">
        <v>44614</v>
      </c>
      <c r="E380" s="2" t="s">
        <v>395</v>
      </c>
      <c r="F380" s="3" t="str">
        <f>HYPERLINK("https://maps.google.com/maps?q=5.10934,-75.22097&amp;ll=5.10934,-75.22097&amp;z=14.75z","Vía Bogotá D.C. - Manizales, Km 31.82 Fresno - Manizales, , La Granja, Herveo, Tolima")</f>
        <v>Vía Bogotá D.C. - Manizales, Km 31.82 Fresno - Manizales, , La Granja, Herveo, Tolima</v>
      </c>
      <c r="G380">
        <v>0</v>
      </c>
      <c r="H380">
        <v>138176</v>
      </c>
      <c r="I380">
        <v>-75.220969999999994</v>
      </c>
      <c r="J380">
        <v>5.1093400000000004</v>
      </c>
      <c r="K380" t="s">
        <v>24</v>
      </c>
      <c r="L380" s="1">
        <v>44614</v>
      </c>
      <c r="M380" s="2" t="s">
        <v>398</v>
      </c>
      <c r="N380" t="s">
        <v>20</v>
      </c>
      <c r="O380" t="s">
        <v>21</v>
      </c>
      <c r="P380" t="s">
        <v>22</v>
      </c>
    </row>
    <row r="381" spans="1:16" x14ac:dyDescent="0.25">
      <c r="A381" t="s">
        <v>16</v>
      </c>
      <c r="B381" t="s">
        <v>114</v>
      </c>
      <c r="C381" t="s">
        <v>115</v>
      </c>
      <c r="D381" s="1">
        <v>44614</v>
      </c>
      <c r="E381" s="2" t="s">
        <v>396</v>
      </c>
      <c r="F381" s="3" t="str">
        <f>HYPERLINK("https://maps.google.com/maps?q=5.10941,-75.22087&amp;ll=5.10941,-75.22087&amp;z=14.75z","Vía Bogotá D.C. - Manizales, Km 31.79 Fresno - Manizales, , La Granja, Herveo, Tolima")</f>
        <v>Vía Bogotá D.C. - Manizales, Km 31.79 Fresno - Manizales, , La Granja, Herveo, Tolima</v>
      </c>
      <c r="G381">
        <v>0</v>
      </c>
      <c r="H381">
        <v>138176</v>
      </c>
      <c r="I381">
        <v>-75.220870000000005</v>
      </c>
      <c r="J381">
        <v>5.1094099999999996</v>
      </c>
      <c r="K381" t="s">
        <v>24</v>
      </c>
      <c r="L381" s="1">
        <v>44614</v>
      </c>
      <c r="M381" s="2" t="s">
        <v>398</v>
      </c>
      <c r="N381" t="s">
        <v>20</v>
      </c>
      <c r="O381" t="s">
        <v>21</v>
      </c>
      <c r="P381" t="s">
        <v>22</v>
      </c>
    </row>
    <row r="382" spans="1:16" x14ac:dyDescent="0.25">
      <c r="A382" t="s">
        <v>16</v>
      </c>
      <c r="B382" t="s">
        <v>114</v>
      </c>
      <c r="C382" t="s">
        <v>27</v>
      </c>
      <c r="D382" s="1">
        <v>44614</v>
      </c>
      <c r="E382" s="2" t="s">
        <v>311</v>
      </c>
      <c r="F382" s="3" t="str">
        <f>HYPERLINK("https://maps.google.com/maps?q=5.1094,-75.22088&amp;ll=5.1094,-75.22088&amp;z=14.75z","Vía Bogotá D.C. - Manizales, Km 31.79 Fresno - Manizales, , La Granja, Herveo, Tolima")</f>
        <v>Vía Bogotá D.C. - Manizales, Km 31.79 Fresno - Manizales, , La Granja, Herveo, Tolima</v>
      </c>
      <c r="G382">
        <v>0</v>
      </c>
      <c r="H382">
        <v>138176</v>
      </c>
      <c r="I382">
        <v>-75.220879999999994</v>
      </c>
      <c r="J382">
        <v>5.1093999999999999</v>
      </c>
      <c r="K382" t="s">
        <v>24</v>
      </c>
      <c r="L382" s="1">
        <v>44614</v>
      </c>
      <c r="M382" s="2" t="s">
        <v>311</v>
      </c>
      <c r="N382" t="s">
        <v>20</v>
      </c>
      <c r="O382" t="s">
        <v>21</v>
      </c>
      <c r="P382" t="s">
        <v>22</v>
      </c>
    </row>
    <row r="383" spans="1:16" x14ac:dyDescent="0.25">
      <c r="A383" t="s">
        <v>16</v>
      </c>
      <c r="B383" t="s">
        <v>114</v>
      </c>
      <c r="C383" t="s">
        <v>27</v>
      </c>
      <c r="D383" s="1">
        <v>44614</v>
      </c>
      <c r="E383" s="2" t="s">
        <v>397</v>
      </c>
      <c r="F383" s="3" t="str">
        <f>HYPERLINK("https://maps.google.com/maps?q=5.1094,-75.22088&amp;ll=5.1094,-75.22088&amp;z=14.75z","Vía Bogotá D.C. - Manizales, Km 31.79 Fresno - Manizales, , La Granja, Herveo, Tolima")</f>
        <v>Vía Bogotá D.C. - Manizales, Km 31.79 Fresno - Manizales, , La Granja, Herveo, Tolima</v>
      </c>
      <c r="G383">
        <v>0</v>
      </c>
      <c r="H383">
        <v>138176</v>
      </c>
      <c r="I383">
        <v>-75.220879999999994</v>
      </c>
      <c r="J383">
        <v>5.1093999999999999</v>
      </c>
      <c r="K383" t="s">
        <v>24</v>
      </c>
      <c r="L383" s="1">
        <v>44614</v>
      </c>
      <c r="M383" s="2" t="s">
        <v>397</v>
      </c>
      <c r="N383" t="s">
        <v>20</v>
      </c>
      <c r="O383" t="s">
        <v>21</v>
      </c>
      <c r="P383" t="s">
        <v>22</v>
      </c>
    </row>
    <row r="384" spans="1:16" x14ac:dyDescent="0.25">
      <c r="A384" t="s">
        <v>16</v>
      </c>
      <c r="B384" t="s">
        <v>94</v>
      </c>
      <c r="C384" t="s">
        <v>116</v>
      </c>
      <c r="D384" s="1">
        <v>44614</v>
      </c>
      <c r="E384" s="2" t="s">
        <v>399</v>
      </c>
      <c r="F384" s="3" t="str">
        <f>HYPERLINK("https://maps.google.com/maps?q=5.10941,-75.22088&amp;ll=5.10941,-75.22088&amp;z=14.75z","Vía Bogotá D.C. - Manizales, Km 31.79 Fresno - Manizales, , La Granja, Herveo, Tolima")</f>
        <v>Vía Bogotá D.C. - Manizales, Km 31.79 Fresno - Manizales, , La Granja, Herveo, Tolima</v>
      </c>
      <c r="G384">
        <v>0</v>
      </c>
      <c r="H384">
        <v>138176</v>
      </c>
      <c r="I384">
        <v>-75.220879999999994</v>
      </c>
      <c r="J384">
        <v>5.1094099999999996</v>
      </c>
      <c r="K384" t="s">
        <v>24</v>
      </c>
      <c r="L384" s="1">
        <v>44614</v>
      </c>
      <c r="M384" s="2" t="s">
        <v>399</v>
      </c>
      <c r="N384" t="s">
        <v>20</v>
      </c>
      <c r="O384" t="s">
        <v>21</v>
      </c>
      <c r="P384" t="s">
        <v>22</v>
      </c>
    </row>
    <row r="385" spans="1:16" x14ac:dyDescent="0.25">
      <c r="A385" t="s">
        <v>16</v>
      </c>
      <c r="B385" t="s">
        <v>94</v>
      </c>
      <c r="C385" t="s">
        <v>116</v>
      </c>
      <c r="D385" s="1">
        <v>44614</v>
      </c>
      <c r="E385" s="2" t="s">
        <v>399</v>
      </c>
      <c r="F385" s="3" t="str">
        <f>HYPERLINK("https://maps.google.com/maps?q=5.10941,-75.22088&amp;ll=5.10941,-75.22088&amp;z=14.75z","Vía Bogotá D.C. - Manizales, Km 31.79 Fresno - Manizales, , La Granja, Herveo, Tolima")</f>
        <v>Vía Bogotá D.C. - Manizales, Km 31.79 Fresno - Manizales, , La Granja, Herveo, Tolima</v>
      </c>
      <c r="G385">
        <v>0</v>
      </c>
      <c r="H385">
        <v>138176</v>
      </c>
      <c r="I385">
        <v>-75.220879999999994</v>
      </c>
      <c r="J385">
        <v>5.1094099999999996</v>
      </c>
      <c r="K385" t="s">
        <v>24</v>
      </c>
      <c r="L385" s="1">
        <v>44614</v>
      </c>
      <c r="M385" s="2" t="s">
        <v>400</v>
      </c>
      <c r="N385" t="s">
        <v>20</v>
      </c>
      <c r="O385" t="s">
        <v>21</v>
      </c>
      <c r="P385" t="s">
        <v>22</v>
      </c>
    </row>
    <row r="386" spans="1:16" x14ac:dyDescent="0.25">
      <c r="A386" t="s">
        <v>16</v>
      </c>
      <c r="B386" t="s">
        <v>17</v>
      </c>
      <c r="C386" t="s">
        <v>18</v>
      </c>
      <c r="D386" s="1">
        <v>44614</v>
      </c>
      <c r="E386" s="2" t="s">
        <v>400</v>
      </c>
      <c r="F386" s="3" t="str">
        <f>HYPERLINK("https://maps.google.com/maps?q=5.10948,-75.22063&amp;ll=5.10948,-75.22063&amp;z=14.75z","Vía Bogotá D.C. - Manizales, Km 31.78 Fresno - Manizales, , La Granja, Herveo, Tolima")</f>
        <v>Vía Bogotá D.C. - Manizales, Km 31.78 Fresno - Manizales, , La Granja, Herveo, Tolima</v>
      </c>
      <c r="G386">
        <v>15</v>
      </c>
      <c r="H386">
        <v>138176</v>
      </c>
      <c r="I386">
        <v>-75.22063</v>
      </c>
      <c r="J386">
        <v>5.1094799999999996</v>
      </c>
      <c r="K386" t="s">
        <v>24</v>
      </c>
      <c r="L386" s="1">
        <v>44614</v>
      </c>
      <c r="M386" s="2" t="s">
        <v>401</v>
      </c>
      <c r="N386" t="s">
        <v>20</v>
      </c>
      <c r="O386" t="s">
        <v>21</v>
      </c>
      <c r="P386" t="s">
        <v>22</v>
      </c>
    </row>
    <row r="387" spans="1:16" x14ac:dyDescent="0.25">
      <c r="A387" t="s">
        <v>16</v>
      </c>
      <c r="B387" t="s">
        <v>17</v>
      </c>
      <c r="C387" t="s">
        <v>18</v>
      </c>
      <c r="D387" s="1">
        <v>44614</v>
      </c>
      <c r="E387" s="2" t="s">
        <v>401</v>
      </c>
      <c r="F387" s="3" t="str">
        <f>HYPERLINK("https://maps.google.com/maps?q=5.11145,-75.21806&amp;ll=5.11145,-75.21806&amp;z=14.75z","Vía Bogotá D.C. - Manizales, Km 31.29 Fresno - Manizales, , La Granja, Herveo, Tolima")</f>
        <v>Vía Bogotá D.C. - Manizales, Km 31.29 Fresno - Manizales, , La Granja, Herveo, Tolima</v>
      </c>
      <c r="G387">
        <v>33</v>
      </c>
      <c r="H387">
        <v>138177</v>
      </c>
      <c r="I387">
        <v>-75.218059999999994</v>
      </c>
      <c r="J387">
        <v>5.1114499999999996</v>
      </c>
      <c r="K387" t="s">
        <v>41</v>
      </c>
      <c r="L387" s="1">
        <v>44614</v>
      </c>
      <c r="M387" s="2" t="s">
        <v>401</v>
      </c>
      <c r="N387" t="s">
        <v>20</v>
      </c>
      <c r="O387" t="s">
        <v>21</v>
      </c>
      <c r="P387" t="s">
        <v>22</v>
      </c>
    </row>
    <row r="388" spans="1:16" x14ac:dyDescent="0.25">
      <c r="A388" t="s">
        <v>16</v>
      </c>
      <c r="B388" t="s">
        <v>17</v>
      </c>
      <c r="C388" t="s">
        <v>18</v>
      </c>
      <c r="D388" s="1">
        <v>44614</v>
      </c>
      <c r="E388" s="2" t="s">
        <v>402</v>
      </c>
      <c r="F388" s="3" t="str">
        <f>HYPERLINK("https://maps.google.com/maps?q=5.11236,-75.21457&amp;ll=5.11236,-75.21457&amp;z=14.75z","Vía Bogotá D.C. - Manizales, Km 30.84 Fresno - Manizales, , La Granja, Herveo, Tolima")</f>
        <v>Vía Bogotá D.C. - Manizales, Km 30.84 Fresno - Manizales, , La Granja, Herveo, Tolima</v>
      </c>
      <c r="G388">
        <v>32</v>
      </c>
      <c r="H388">
        <v>138177</v>
      </c>
      <c r="I388">
        <v>-75.214569999999995</v>
      </c>
      <c r="J388">
        <v>5.1123599999999998</v>
      </c>
      <c r="K388" t="s">
        <v>24</v>
      </c>
      <c r="L388" s="1">
        <v>44614</v>
      </c>
      <c r="M388" s="2" t="s">
        <v>408</v>
      </c>
      <c r="N388" t="s">
        <v>20</v>
      </c>
      <c r="O388" t="s">
        <v>21</v>
      </c>
      <c r="P388" t="s">
        <v>22</v>
      </c>
    </row>
    <row r="389" spans="1:16" x14ac:dyDescent="0.25">
      <c r="A389" t="s">
        <v>16</v>
      </c>
      <c r="B389" t="s">
        <v>17</v>
      </c>
      <c r="C389" t="s">
        <v>18</v>
      </c>
      <c r="D389" s="1">
        <v>44614</v>
      </c>
      <c r="E389" s="2" t="s">
        <v>403</v>
      </c>
      <c r="F389" s="3" t="str">
        <f>HYPERLINK("https://maps.google.com/maps?q=5.1146,-75.2112&amp;ll=5.1146,-75.2112&amp;z=14.75z","Vía Bogotá D.C. - Manizales, Km 30.33 Fresno - Manizales, , La Granja, Herveo, Tolima")</f>
        <v>Vía Bogotá D.C. - Manizales, Km 30.33 Fresno - Manizales, , La Granja, Herveo, Tolima</v>
      </c>
      <c r="G389">
        <v>33</v>
      </c>
      <c r="H389">
        <v>138177</v>
      </c>
      <c r="I389">
        <v>-75.211200000000005</v>
      </c>
      <c r="J389">
        <v>5.1146000000000003</v>
      </c>
      <c r="K389" t="s">
        <v>24</v>
      </c>
      <c r="L389" s="1">
        <v>44614</v>
      </c>
      <c r="M389" s="2" t="s">
        <v>408</v>
      </c>
      <c r="N389" t="s">
        <v>20</v>
      </c>
      <c r="O389" t="s">
        <v>21</v>
      </c>
      <c r="P389" t="s">
        <v>22</v>
      </c>
    </row>
    <row r="390" spans="1:16" x14ac:dyDescent="0.25">
      <c r="A390" t="s">
        <v>16</v>
      </c>
      <c r="B390" t="s">
        <v>17</v>
      </c>
      <c r="C390" t="s">
        <v>18</v>
      </c>
      <c r="D390" s="1">
        <v>44614</v>
      </c>
      <c r="E390" s="2" t="s">
        <v>404</v>
      </c>
      <c r="F390" s="3" t="str">
        <f>HYPERLINK("https://maps.google.com/maps?q=5.11771,-75.21001&amp;ll=5.11771,-75.21001&amp;z=14.75z","Vía Bogotá D.C. - Manizales, Km 29.85 Fresno - Manizales, , La Granja, Herveo, Tolima")</f>
        <v>Vía Bogotá D.C. - Manizales, Km 29.85 Fresno - Manizales, , La Granja, Herveo, Tolima</v>
      </c>
      <c r="G390">
        <v>32</v>
      </c>
      <c r="H390">
        <v>138178</v>
      </c>
      <c r="I390">
        <v>-75.210009999999997</v>
      </c>
      <c r="J390">
        <v>5.1177099999999998</v>
      </c>
      <c r="K390" t="s">
        <v>19</v>
      </c>
      <c r="L390" s="1">
        <v>44614</v>
      </c>
      <c r="M390" s="2" t="s">
        <v>408</v>
      </c>
      <c r="N390" t="s">
        <v>20</v>
      </c>
      <c r="O390" t="s">
        <v>21</v>
      </c>
      <c r="P390" t="s">
        <v>22</v>
      </c>
    </row>
    <row r="391" spans="1:16" x14ac:dyDescent="0.25">
      <c r="A391" t="s">
        <v>16</v>
      </c>
      <c r="B391" t="s">
        <v>17</v>
      </c>
      <c r="C391" t="s">
        <v>18</v>
      </c>
      <c r="D391" s="1">
        <v>44614</v>
      </c>
      <c r="E391" s="2" t="s">
        <v>405</v>
      </c>
      <c r="F391" s="3" t="str">
        <f>HYPERLINK("https://maps.google.com/maps?q=5.11948,-75.20792&amp;ll=5.11948,-75.20792&amp;z=14.75z","Vía Bogotá D.C. - Manizales, Km 29.4 Fresno - Manizales, , La Granja, Herveo, Tolima")</f>
        <v>Vía Bogotá D.C. - Manizales, Km 29.4 Fresno - Manizales, , La Granja, Herveo, Tolima</v>
      </c>
      <c r="G391">
        <v>19</v>
      </c>
      <c r="H391">
        <v>138178</v>
      </c>
      <c r="I391">
        <v>-75.207920000000001</v>
      </c>
      <c r="J391">
        <v>5.1194800000000003</v>
      </c>
      <c r="K391" t="s">
        <v>41</v>
      </c>
      <c r="L391" s="1">
        <v>44614</v>
      </c>
      <c r="M391" s="2" t="s">
        <v>408</v>
      </c>
      <c r="N391" t="s">
        <v>20</v>
      </c>
      <c r="O391" t="s">
        <v>21</v>
      </c>
      <c r="P391" t="s">
        <v>22</v>
      </c>
    </row>
    <row r="392" spans="1:16" x14ac:dyDescent="0.25">
      <c r="A392" t="s">
        <v>16</v>
      </c>
      <c r="B392" t="s">
        <v>17</v>
      </c>
      <c r="C392" t="s">
        <v>18</v>
      </c>
      <c r="D392" s="1">
        <v>44614</v>
      </c>
      <c r="E392" s="2" t="s">
        <v>406</v>
      </c>
      <c r="F392" s="3" t="str">
        <f>HYPERLINK("https://maps.google.com/maps?q=5.12068,-75.20429&amp;ll=5.12068,-75.20429&amp;z=14.75z","Vía Bogotá D.C. - Manizales, Km 28.95 Fresno - Manizales, , La Granja, Herveo, Tolima")</f>
        <v>Vía Bogotá D.C. - Manizales, Km 28.95 Fresno - Manizales, , La Granja, Herveo, Tolima</v>
      </c>
      <c r="G392">
        <v>33</v>
      </c>
      <c r="H392">
        <v>138179</v>
      </c>
      <c r="I392">
        <v>-75.20429</v>
      </c>
      <c r="J392">
        <v>5.1206800000000001</v>
      </c>
      <c r="K392" t="s">
        <v>24</v>
      </c>
      <c r="L392" s="1">
        <v>44614</v>
      </c>
      <c r="M392" s="2" t="s">
        <v>408</v>
      </c>
      <c r="N392" t="s">
        <v>20</v>
      </c>
      <c r="O392" t="s">
        <v>21</v>
      </c>
      <c r="P392" t="s">
        <v>22</v>
      </c>
    </row>
    <row r="393" spans="1:16" x14ac:dyDescent="0.25">
      <c r="A393" t="s">
        <v>16</v>
      </c>
      <c r="B393" t="s">
        <v>17</v>
      </c>
      <c r="C393" t="s">
        <v>18</v>
      </c>
      <c r="D393" s="1">
        <v>44614</v>
      </c>
      <c r="E393" s="2" t="s">
        <v>407</v>
      </c>
      <c r="F393" s="3" t="str">
        <f>HYPERLINK("https://maps.google.com/maps?q=5.12311,-75.20327&amp;ll=5.12311,-75.20327&amp;z=14.75z","Vía Bogotá D.C. - Manizales, Km 28.48 Fresno - Manizales, , Filo Bonito, Herveo, Tolima")</f>
        <v>Vía Bogotá D.C. - Manizales, Km 28.48 Fresno - Manizales, , Filo Bonito, Herveo, Tolima</v>
      </c>
      <c r="G393">
        <v>27</v>
      </c>
      <c r="H393">
        <v>138179</v>
      </c>
      <c r="I393">
        <v>-75.203270000000003</v>
      </c>
      <c r="J393">
        <v>5.1231099999999996</v>
      </c>
      <c r="K393" t="s">
        <v>23</v>
      </c>
      <c r="L393" s="1">
        <v>44614</v>
      </c>
      <c r="M393" s="2" t="s">
        <v>408</v>
      </c>
      <c r="N393" t="s">
        <v>20</v>
      </c>
      <c r="O393" t="s">
        <v>21</v>
      </c>
      <c r="P393" t="s">
        <v>22</v>
      </c>
    </row>
    <row r="394" spans="1:16" x14ac:dyDescent="0.25">
      <c r="A394" t="s">
        <v>16</v>
      </c>
      <c r="B394" t="s">
        <v>17</v>
      </c>
      <c r="C394" t="s">
        <v>18</v>
      </c>
      <c r="D394" s="1">
        <v>44614</v>
      </c>
      <c r="E394" s="2" t="s">
        <v>408</v>
      </c>
      <c r="F394" s="3" t="str">
        <f>HYPERLINK("https://maps.google.com/maps?q=5.12447,-75.20173&amp;ll=5.12447,-75.20173&amp;z=14.75z","Vía Bogotá D.C. - Manizales, Km 28.04 Fresno - Manizales, , Mesones, Herveo, Tolima")</f>
        <v>Vía Bogotá D.C. - Manizales, Km 28.04 Fresno - Manizales, , Mesones, Herveo, Tolima</v>
      </c>
      <c r="G394">
        <v>27</v>
      </c>
      <c r="H394">
        <v>138180</v>
      </c>
      <c r="I394">
        <v>-75.201729999999998</v>
      </c>
      <c r="J394">
        <v>5.1244699999999996</v>
      </c>
      <c r="K394" t="s">
        <v>41</v>
      </c>
      <c r="L394" s="1">
        <v>44614</v>
      </c>
      <c r="M394" s="2" t="s">
        <v>408</v>
      </c>
      <c r="N394" t="s">
        <v>20</v>
      </c>
      <c r="O394" t="s">
        <v>21</v>
      </c>
      <c r="P394" t="s">
        <v>22</v>
      </c>
    </row>
    <row r="395" spans="1:16" x14ac:dyDescent="0.25">
      <c r="A395" t="s">
        <v>16</v>
      </c>
      <c r="B395" t="s">
        <v>17</v>
      </c>
      <c r="C395" t="s">
        <v>27</v>
      </c>
      <c r="D395" s="1">
        <v>44614</v>
      </c>
      <c r="E395" s="2" t="s">
        <v>408</v>
      </c>
      <c r="F395" s="3" t="str">
        <f>HYPERLINK("https://maps.google.com/maps?q=5.12447,-75.20166&amp;ll=5.12447,-75.20166&amp;z=14.75z","Vía Bogotá D.C. - Manizales, Km 28.03 Fresno - Manizales, , Mesones, Herveo, Tolima")</f>
        <v>Vía Bogotá D.C. - Manizales, Km 28.03 Fresno - Manizales, , Mesones, Herveo, Tolima</v>
      </c>
      <c r="G395">
        <v>27</v>
      </c>
      <c r="H395">
        <v>138180</v>
      </c>
      <c r="I395">
        <v>-75.201660000000004</v>
      </c>
      <c r="J395">
        <v>5.1244699999999996</v>
      </c>
      <c r="K395" t="s">
        <v>41</v>
      </c>
      <c r="L395" s="1">
        <v>44614</v>
      </c>
      <c r="M395" s="2" t="s">
        <v>408</v>
      </c>
      <c r="N395" t="s">
        <v>20</v>
      </c>
      <c r="O395" t="s">
        <v>21</v>
      </c>
      <c r="P395" t="s">
        <v>22</v>
      </c>
    </row>
    <row r="396" spans="1:16" x14ac:dyDescent="0.25">
      <c r="A396" t="s">
        <v>16</v>
      </c>
      <c r="B396" t="s">
        <v>17</v>
      </c>
      <c r="C396" t="s">
        <v>18</v>
      </c>
      <c r="D396" s="1">
        <v>44614</v>
      </c>
      <c r="E396" s="2" t="s">
        <v>408</v>
      </c>
      <c r="F396" s="3" t="str">
        <f>HYPERLINK("https://maps.google.com/maps?q=5.12781,-75.201&amp;ll=5.12781,-75.201&amp;z=14.75z","Vía Bogotá D.C. - Manizales, Km 27.58 Fresno - Manizales, , Mesones, Herveo, Tolima")</f>
        <v>Vía Bogotá D.C. - Manizales, Km 27.58 Fresno - Manizales, , Mesones, Herveo, Tolima</v>
      </c>
      <c r="G396">
        <v>27</v>
      </c>
      <c r="H396">
        <v>138180</v>
      </c>
      <c r="I396">
        <v>-75.200999999999993</v>
      </c>
      <c r="J396">
        <v>5.1278100000000002</v>
      </c>
      <c r="K396" t="s">
        <v>23</v>
      </c>
      <c r="L396" s="1">
        <v>44614</v>
      </c>
      <c r="M396" s="2" t="s">
        <v>418</v>
      </c>
      <c r="N396" t="s">
        <v>20</v>
      </c>
      <c r="O396" t="s">
        <v>21</v>
      </c>
      <c r="P396" t="s">
        <v>22</v>
      </c>
    </row>
    <row r="397" spans="1:16" x14ac:dyDescent="0.25">
      <c r="A397" t="s">
        <v>16</v>
      </c>
      <c r="B397" t="s">
        <v>17</v>
      </c>
      <c r="C397" t="s">
        <v>18</v>
      </c>
      <c r="D397" s="1">
        <v>44614</v>
      </c>
      <c r="E397" s="2" t="s">
        <v>408</v>
      </c>
      <c r="F397" s="3" t="str">
        <f>HYPERLINK("https://maps.google.com/maps?q=5.12781,-75.201&amp;ll=5.12781,-75.201&amp;z=14.75z","Vía Bogotá D.C. - Manizales, Km 27.58 Fresno - Manizales, , Mesones, Herveo, Tolima")</f>
        <v>Vía Bogotá D.C. - Manizales, Km 27.58 Fresno - Manizales, , Mesones, Herveo, Tolima</v>
      </c>
      <c r="G397">
        <v>27</v>
      </c>
      <c r="H397">
        <v>138180</v>
      </c>
      <c r="I397">
        <v>-75.200999999999993</v>
      </c>
      <c r="J397">
        <v>5.1278100000000002</v>
      </c>
      <c r="K397" t="s">
        <v>23</v>
      </c>
      <c r="L397" s="1">
        <v>44614</v>
      </c>
      <c r="M397" s="2" t="s">
        <v>410</v>
      </c>
      <c r="N397" t="s">
        <v>20</v>
      </c>
      <c r="O397" t="s">
        <v>21</v>
      </c>
      <c r="P397" t="s">
        <v>22</v>
      </c>
    </row>
    <row r="398" spans="1:16" x14ac:dyDescent="0.25">
      <c r="A398" t="s">
        <v>16</v>
      </c>
      <c r="B398" t="s">
        <v>17</v>
      </c>
      <c r="C398" t="s">
        <v>18</v>
      </c>
      <c r="D398" s="1">
        <v>44614</v>
      </c>
      <c r="E398" s="2" t="s">
        <v>408</v>
      </c>
      <c r="F398" s="3" t="str">
        <f>HYPERLINK("https://maps.google.com/maps?q=5.12781,-75.201&amp;ll=5.12781,-75.201&amp;z=14.75z","Vía Bogotá D.C. - Manizales, Km 27.58 Fresno - Manizales, , Mesones, Herveo, Tolima")</f>
        <v>Vía Bogotá D.C. - Manizales, Km 27.58 Fresno - Manizales, , Mesones, Herveo, Tolima</v>
      </c>
      <c r="G398">
        <v>27</v>
      </c>
      <c r="H398">
        <v>138180</v>
      </c>
      <c r="I398">
        <v>-75.200999999999993</v>
      </c>
      <c r="J398">
        <v>5.1278100000000002</v>
      </c>
      <c r="K398" t="s">
        <v>23</v>
      </c>
      <c r="L398" s="1">
        <v>44614</v>
      </c>
      <c r="M398" s="2" t="s">
        <v>409</v>
      </c>
      <c r="N398" t="s">
        <v>20</v>
      </c>
      <c r="O398" t="s">
        <v>21</v>
      </c>
      <c r="P398" t="s">
        <v>22</v>
      </c>
    </row>
    <row r="399" spans="1:16" x14ac:dyDescent="0.25">
      <c r="A399" t="s">
        <v>16</v>
      </c>
      <c r="B399" t="s">
        <v>17</v>
      </c>
      <c r="C399" t="s">
        <v>18</v>
      </c>
      <c r="D399" s="1">
        <v>44614</v>
      </c>
      <c r="E399" s="2" t="s">
        <v>409</v>
      </c>
      <c r="F399" s="3" t="str">
        <f>HYPERLINK("https://maps.google.com/maps?q=5.13197,-75.1993&amp;ll=5.13197,-75.1993&amp;z=14.75z","Vía Bogotá D.C. - Manizales, Km 27.01 Fresno - Manizales, , Filo Bonito, Herveo, Tolima")</f>
        <v>Vía Bogotá D.C. - Manizales, Km 27.01 Fresno - Manizales, , Filo Bonito, Herveo, Tolima</v>
      </c>
      <c r="G399">
        <v>39</v>
      </c>
      <c r="H399">
        <v>138181</v>
      </c>
      <c r="I399">
        <v>-75.199299999999994</v>
      </c>
      <c r="J399">
        <v>5.1319699999999999</v>
      </c>
      <c r="K399" t="s">
        <v>23</v>
      </c>
      <c r="L399" s="1">
        <v>44614</v>
      </c>
      <c r="M399" s="2" t="s">
        <v>418</v>
      </c>
      <c r="N399" t="s">
        <v>20</v>
      </c>
      <c r="O399" t="s">
        <v>21</v>
      </c>
      <c r="P399" t="s">
        <v>22</v>
      </c>
    </row>
    <row r="400" spans="1:16" x14ac:dyDescent="0.25">
      <c r="A400" t="s">
        <v>16</v>
      </c>
      <c r="B400" t="s">
        <v>17</v>
      </c>
      <c r="C400" t="s">
        <v>18</v>
      </c>
      <c r="D400" s="1">
        <v>44614</v>
      </c>
      <c r="E400" s="2" t="s">
        <v>410</v>
      </c>
      <c r="F400" s="3" t="str">
        <f>HYPERLINK("https://maps.google.com/maps?q=5.13433,-75.19645&amp;ll=5.13433,-75.19645&amp;z=14.75z","Vía Bogotá D.C. - Manizales, Km 26.57 Fresno - Manizales, , Mesones, Herveo, Tolima")</f>
        <v>Vía Bogotá D.C. - Manizales, Km 26.57 Fresno - Manizales, , Mesones, Herveo, Tolima</v>
      </c>
      <c r="G400">
        <v>28</v>
      </c>
      <c r="H400">
        <v>138181</v>
      </c>
      <c r="I400">
        <v>-75.196449999999999</v>
      </c>
      <c r="J400">
        <v>5.1343300000000003</v>
      </c>
      <c r="K400" t="s">
        <v>23</v>
      </c>
      <c r="L400" s="1">
        <v>44614</v>
      </c>
      <c r="M400" s="2" t="s">
        <v>418</v>
      </c>
      <c r="N400" t="s">
        <v>20</v>
      </c>
      <c r="O400" t="s">
        <v>21</v>
      </c>
      <c r="P400" t="s">
        <v>22</v>
      </c>
    </row>
    <row r="401" spans="1:16" x14ac:dyDescent="0.25">
      <c r="A401" t="s">
        <v>16</v>
      </c>
      <c r="B401" t="s">
        <v>17</v>
      </c>
      <c r="C401" t="s">
        <v>18</v>
      </c>
      <c r="D401" s="1">
        <v>44614</v>
      </c>
      <c r="E401" s="2" t="s">
        <v>411</v>
      </c>
      <c r="F401" s="3" t="str">
        <f>HYPERLINK("https://maps.google.com/maps?q=5.13394,-75.19518&amp;ll=5.13394,-75.19518&amp;z=14.75z","Vía Bogotá D.C. - Manizales, Km 26.15 Fresno - Manizales, , Mesones, Herveo, Tolima")</f>
        <v>Vía Bogotá D.C. - Manizales, Km 26.15 Fresno - Manizales, , Mesones, Herveo, Tolima</v>
      </c>
      <c r="G401">
        <v>26</v>
      </c>
      <c r="H401">
        <v>138182</v>
      </c>
      <c r="I401">
        <v>-75.195179999999993</v>
      </c>
      <c r="J401">
        <v>5.1339399999999999</v>
      </c>
      <c r="K401" t="s">
        <v>19</v>
      </c>
      <c r="L401" s="1">
        <v>44614</v>
      </c>
      <c r="M401" s="2" t="s">
        <v>418</v>
      </c>
      <c r="N401" t="s">
        <v>20</v>
      </c>
      <c r="O401" t="s">
        <v>21</v>
      </c>
      <c r="P401" t="s">
        <v>22</v>
      </c>
    </row>
    <row r="402" spans="1:16" x14ac:dyDescent="0.25">
      <c r="A402" t="s">
        <v>16</v>
      </c>
      <c r="B402" t="s">
        <v>17</v>
      </c>
      <c r="C402" t="s">
        <v>18</v>
      </c>
      <c r="D402" s="1">
        <v>44614</v>
      </c>
      <c r="E402" s="2" t="s">
        <v>412</v>
      </c>
      <c r="F402" s="3" t="str">
        <f>HYPERLINK("https://maps.google.com/maps?q=5.13376,-75.1936&amp;ll=5.13376,-75.1936&amp;z=14.75z","Vía Bogotá D.C. - Manizales, Km 25.7 Fresno - Manizales, , Mesones, Herveo, Tolima")</f>
        <v>Vía Bogotá D.C. - Manizales, Km 25.7 Fresno - Manizales, , Mesones, Herveo, Tolima</v>
      </c>
      <c r="G402">
        <v>28</v>
      </c>
      <c r="H402">
        <v>138182</v>
      </c>
      <c r="I402">
        <v>-75.193600000000004</v>
      </c>
      <c r="J402">
        <v>5.1337599999999997</v>
      </c>
      <c r="K402" t="s">
        <v>24</v>
      </c>
      <c r="L402" s="1">
        <v>44614</v>
      </c>
      <c r="M402" s="2" t="s">
        <v>418</v>
      </c>
      <c r="N402" t="s">
        <v>20</v>
      </c>
      <c r="O402" t="s">
        <v>21</v>
      </c>
      <c r="P402" t="s">
        <v>22</v>
      </c>
    </row>
    <row r="403" spans="1:16" x14ac:dyDescent="0.25">
      <c r="A403" t="s">
        <v>16</v>
      </c>
      <c r="B403" t="s">
        <v>17</v>
      </c>
      <c r="C403" t="s">
        <v>18</v>
      </c>
      <c r="D403" s="1">
        <v>44614</v>
      </c>
      <c r="E403" s="2" t="s">
        <v>413</v>
      </c>
      <c r="F403" s="3" t="str">
        <f>HYPERLINK("https://maps.google.com/maps?q=5.13486,-75.1905&amp;ll=5.13486,-75.1905&amp;z=14.75z","Vía Bogotá D.C. - Manizales, Km 25.28 Fresno - Manizales, , Mesones, Herveo, Tolima")</f>
        <v>Vía Bogotá D.C. - Manizales, Km 25.28 Fresno - Manizales, , Mesones, Herveo, Tolima</v>
      </c>
      <c r="G403">
        <v>30</v>
      </c>
      <c r="H403">
        <v>138182</v>
      </c>
      <c r="I403">
        <v>-75.1905</v>
      </c>
      <c r="J403">
        <v>5.1348599999999998</v>
      </c>
      <c r="K403" t="s">
        <v>41</v>
      </c>
      <c r="L403" s="1">
        <v>44614</v>
      </c>
      <c r="M403" s="2" t="s">
        <v>418</v>
      </c>
      <c r="N403" t="s">
        <v>20</v>
      </c>
      <c r="O403" t="s">
        <v>21</v>
      </c>
      <c r="P403" t="s">
        <v>22</v>
      </c>
    </row>
    <row r="404" spans="1:16" x14ac:dyDescent="0.25">
      <c r="A404" t="s">
        <v>16</v>
      </c>
      <c r="B404" t="s">
        <v>17</v>
      </c>
      <c r="C404" t="s">
        <v>18</v>
      </c>
      <c r="D404" s="1">
        <v>44614</v>
      </c>
      <c r="E404" s="2" t="s">
        <v>312</v>
      </c>
      <c r="F404" s="3" t="str">
        <f>HYPERLINK("https://maps.google.com/maps?q=5.13592,-75.18775&amp;ll=5.13592,-75.18775&amp;z=14.75z","Vía Bogotá D.C. - Manizales, Km 24.83 Fresno - Manizales, , Mesones, Herveo, Tolima")</f>
        <v>Vía Bogotá D.C. - Manizales, Km 24.83 Fresno - Manizales, , Mesones, Herveo, Tolima</v>
      </c>
      <c r="G404">
        <v>32</v>
      </c>
      <c r="H404">
        <v>138183</v>
      </c>
      <c r="I404">
        <v>-75.187749999999994</v>
      </c>
      <c r="J404">
        <v>5.1359199999999996</v>
      </c>
      <c r="K404" t="s">
        <v>24</v>
      </c>
      <c r="L404" s="1">
        <v>44614</v>
      </c>
      <c r="M404" s="2" t="s">
        <v>418</v>
      </c>
      <c r="N404" t="s">
        <v>20</v>
      </c>
      <c r="O404" t="s">
        <v>21</v>
      </c>
      <c r="P404" t="s">
        <v>22</v>
      </c>
    </row>
    <row r="405" spans="1:16" x14ac:dyDescent="0.25">
      <c r="A405" t="s">
        <v>16</v>
      </c>
      <c r="B405" t="s">
        <v>17</v>
      </c>
      <c r="C405" t="s">
        <v>18</v>
      </c>
      <c r="D405" s="1">
        <v>44614</v>
      </c>
      <c r="E405" s="2" t="s">
        <v>414</v>
      </c>
      <c r="F405" s="3" t="str">
        <f>HYPERLINK("https://maps.google.com/maps?q=5.1372,-75.18404&amp;ll=5.1372,-75.18404&amp;z=14.75z","Vía Bogotá D.C. - Manizales, Km 24.32 Fresno - Manizales, , Mesones, Herveo, Tolima")</f>
        <v>Vía Bogotá D.C. - Manizales, Km 24.32 Fresno - Manizales, , Mesones, Herveo, Tolima</v>
      </c>
      <c r="G405">
        <v>32</v>
      </c>
      <c r="H405">
        <v>138183</v>
      </c>
      <c r="I405">
        <v>-75.184039999999996</v>
      </c>
      <c r="J405">
        <v>5.1372</v>
      </c>
      <c r="K405" t="s">
        <v>41</v>
      </c>
      <c r="L405" s="1">
        <v>44614</v>
      </c>
      <c r="M405" s="2" t="s">
        <v>418</v>
      </c>
      <c r="N405" t="s">
        <v>20</v>
      </c>
      <c r="O405" t="s">
        <v>21</v>
      </c>
      <c r="P405" t="s">
        <v>22</v>
      </c>
    </row>
    <row r="406" spans="1:16" x14ac:dyDescent="0.25">
      <c r="A406" t="s">
        <v>16</v>
      </c>
      <c r="B406" t="s">
        <v>17</v>
      </c>
      <c r="C406" t="s">
        <v>18</v>
      </c>
      <c r="D406" s="1">
        <v>44614</v>
      </c>
      <c r="E406" s="2" t="s">
        <v>415</v>
      </c>
      <c r="F406" s="3" t="str">
        <f>HYPERLINK("https://maps.google.com/maps?q=5.13698,-75.18167&amp;ll=5.13698,-75.18167&amp;z=14.75z","Vía Bogotá D.C. - Manizales, Km 23.83 Fresno - Manizales, , Mesones, Herveo, Tolima")</f>
        <v>Vía Bogotá D.C. - Manizales, Km 23.83 Fresno - Manizales, , Mesones, Herveo, Tolima</v>
      </c>
      <c r="G406">
        <v>33</v>
      </c>
      <c r="H406">
        <v>138184</v>
      </c>
      <c r="I406">
        <v>-75.181669999999997</v>
      </c>
      <c r="J406">
        <v>5.1369800000000003</v>
      </c>
      <c r="K406" t="s">
        <v>33</v>
      </c>
      <c r="L406" s="1">
        <v>44614</v>
      </c>
      <c r="M406" s="2" t="s">
        <v>418</v>
      </c>
      <c r="N406" t="s">
        <v>20</v>
      </c>
      <c r="O406" t="s">
        <v>21</v>
      </c>
      <c r="P406" t="s">
        <v>22</v>
      </c>
    </row>
    <row r="407" spans="1:16" x14ac:dyDescent="0.25">
      <c r="A407" t="s">
        <v>16</v>
      </c>
      <c r="B407" t="s">
        <v>17</v>
      </c>
      <c r="C407" t="s">
        <v>18</v>
      </c>
      <c r="D407" s="1">
        <v>44614</v>
      </c>
      <c r="E407" s="2" t="s">
        <v>416</v>
      </c>
      <c r="F407" s="3" t="str">
        <f>HYPERLINK("https://maps.google.com/maps?q=5.13659,-75.1795&amp;ll=5.13659,-75.1795&amp;z=14.75z","Vía Bogotá D.C. - Manizales, Km 23.42 Fresno - Manizales, , Mesones, Herveo, Tolima")</f>
        <v>Vía Bogotá D.C. - Manizales, Km 23.42 Fresno - Manizales, , Mesones, Herveo, Tolima</v>
      </c>
      <c r="G407">
        <v>21</v>
      </c>
      <c r="H407">
        <v>138184</v>
      </c>
      <c r="I407">
        <v>-75.179500000000004</v>
      </c>
      <c r="J407">
        <v>5.13659</v>
      </c>
      <c r="K407" t="s">
        <v>24</v>
      </c>
      <c r="L407" s="1">
        <v>44614</v>
      </c>
      <c r="M407" s="2" t="s">
        <v>418</v>
      </c>
      <c r="N407" t="s">
        <v>20</v>
      </c>
      <c r="O407" t="s">
        <v>21</v>
      </c>
      <c r="P407" t="s">
        <v>22</v>
      </c>
    </row>
    <row r="408" spans="1:16" x14ac:dyDescent="0.25">
      <c r="A408" t="s">
        <v>16</v>
      </c>
      <c r="B408" t="s">
        <v>17</v>
      </c>
      <c r="C408" t="s">
        <v>18</v>
      </c>
      <c r="D408" s="1">
        <v>44614</v>
      </c>
      <c r="E408" s="2" t="s">
        <v>416</v>
      </c>
      <c r="F408" s="3" t="str">
        <f>HYPERLINK("https://maps.google.com/maps?q=5.13659,-75.1795&amp;ll=5.13659,-75.1795&amp;z=14.75z","Vía Bogotá D.C. - Manizales, Km 23.42 Fresno - Manizales, , Mesones, Herveo, Tolima")</f>
        <v>Vía Bogotá D.C. - Manizales, Km 23.42 Fresno - Manizales, , Mesones, Herveo, Tolima</v>
      </c>
      <c r="G408">
        <v>21</v>
      </c>
      <c r="H408">
        <v>138184</v>
      </c>
      <c r="I408">
        <v>-75.179500000000004</v>
      </c>
      <c r="J408">
        <v>5.13659</v>
      </c>
      <c r="K408" t="s">
        <v>24</v>
      </c>
      <c r="L408" s="1">
        <v>44614</v>
      </c>
      <c r="M408" s="2" t="s">
        <v>418</v>
      </c>
      <c r="N408" t="s">
        <v>20</v>
      </c>
      <c r="O408" t="s">
        <v>21</v>
      </c>
      <c r="P408" t="s">
        <v>22</v>
      </c>
    </row>
    <row r="409" spans="1:16" x14ac:dyDescent="0.25">
      <c r="A409" t="s">
        <v>16</v>
      </c>
      <c r="B409" t="s">
        <v>17</v>
      </c>
      <c r="C409" t="s">
        <v>18</v>
      </c>
      <c r="D409" s="1">
        <v>44614</v>
      </c>
      <c r="E409" s="2" t="s">
        <v>417</v>
      </c>
      <c r="F409" s="3" t="str">
        <f>HYPERLINK("https://maps.google.com/maps?q=5.13831,-75.17716&amp;ll=5.13831,-75.17716&amp;z=14.75z","Vía Bogotá D.C. - Manizales, Km 23.05 Fresno - Manizales, , Mesones, Herveo, Tolima")</f>
        <v>Vía Bogotá D.C. - Manizales, Km 23.05 Fresno - Manizales, , Mesones, Herveo, Tolima</v>
      </c>
      <c r="G409">
        <v>25</v>
      </c>
      <c r="H409">
        <v>138185</v>
      </c>
      <c r="I409">
        <v>-75.177160000000001</v>
      </c>
      <c r="J409">
        <v>5.1383099999999997</v>
      </c>
      <c r="K409" t="s">
        <v>41</v>
      </c>
      <c r="L409" s="1">
        <v>44614</v>
      </c>
      <c r="M409" s="2" t="s">
        <v>418</v>
      </c>
      <c r="N409" t="s">
        <v>20</v>
      </c>
      <c r="O409" t="s">
        <v>21</v>
      </c>
      <c r="P409" t="s">
        <v>22</v>
      </c>
    </row>
    <row r="410" spans="1:16" x14ac:dyDescent="0.25">
      <c r="A410" t="s">
        <v>16</v>
      </c>
      <c r="B410" t="s">
        <v>17</v>
      </c>
      <c r="C410" t="s">
        <v>27</v>
      </c>
      <c r="D410" s="1">
        <v>44614</v>
      </c>
      <c r="E410" s="2" t="s">
        <v>417</v>
      </c>
      <c r="F410" s="3" t="str">
        <f>HYPERLINK("https://maps.google.com/maps?q=5.13834,-75.17703&amp;ll=5.13834,-75.17703&amp;z=14.75z","Vía Bogotá D.C. - Manizales, Km 23.03 Fresno - Manizales, , Mesones, Herveo, Tolima")</f>
        <v>Vía Bogotá D.C. - Manizales, Km 23.03 Fresno - Manizales, , Mesones, Herveo, Tolima</v>
      </c>
      <c r="G410">
        <v>24</v>
      </c>
      <c r="H410">
        <v>138185</v>
      </c>
      <c r="I410">
        <v>-75.177030000000002</v>
      </c>
      <c r="J410">
        <v>5.1383400000000004</v>
      </c>
      <c r="K410" t="s">
        <v>41</v>
      </c>
      <c r="L410" s="1">
        <v>44614</v>
      </c>
      <c r="M410" s="2" t="s">
        <v>417</v>
      </c>
      <c r="N410" t="s">
        <v>20</v>
      </c>
      <c r="O410" t="s">
        <v>21</v>
      </c>
      <c r="P410" t="s">
        <v>22</v>
      </c>
    </row>
    <row r="411" spans="1:16" x14ac:dyDescent="0.25">
      <c r="A411" t="s">
        <v>16</v>
      </c>
      <c r="B411" t="s">
        <v>17</v>
      </c>
      <c r="C411" t="s">
        <v>18</v>
      </c>
      <c r="D411" s="1">
        <v>44614</v>
      </c>
      <c r="E411" s="2" t="s">
        <v>418</v>
      </c>
      <c r="F411" s="3" t="str">
        <f>HYPERLINK("https://maps.google.com/maps?q=5.13834,-75.17406&amp;ll=5.13834,-75.17406&amp;z=14.75z","Vía Bogotá D.C. - Manizales, Km 22.56 Fresno - Manizales, , Monte Redondo, Herveo, Tolima")</f>
        <v>Vía Bogotá D.C. - Manizales, Km 22.56 Fresno - Manizales, , Monte Redondo, Herveo, Tolima</v>
      </c>
      <c r="G411">
        <v>25</v>
      </c>
      <c r="H411">
        <v>138185</v>
      </c>
      <c r="I411">
        <v>-75.174059999999997</v>
      </c>
      <c r="J411">
        <v>5.1383400000000004</v>
      </c>
      <c r="K411" t="s">
        <v>41</v>
      </c>
      <c r="L411" s="1">
        <v>44614</v>
      </c>
      <c r="M411" s="2" t="s">
        <v>418</v>
      </c>
      <c r="N411" t="s">
        <v>20</v>
      </c>
      <c r="O411" t="s">
        <v>21</v>
      </c>
      <c r="P411" t="s">
        <v>22</v>
      </c>
    </row>
    <row r="412" spans="1:16" x14ac:dyDescent="0.25">
      <c r="A412" t="s">
        <v>16</v>
      </c>
      <c r="B412" t="s">
        <v>17</v>
      </c>
      <c r="C412" t="s">
        <v>18</v>
      </c>
      <c r="D412" s="1">
        <v>44614</v>
      </c>
      <c r="E412" s="2" t="s">
        <v>419</v>
      </c>
      <c r="F412" s="3" t="str">
        <f>HYPERLINK("https://maps.google.com/maps?q=5.1377,-75.17259&amp;ll=5.1377,-75.17259&amp;z=14.75z","Vía Bogotá D.C. - Manizales, Km 22.26 Fresno - Manizales, , Mesones, Herveo, Tolima")</f>
        <v>Vía Bogotá D.C. - Manizales, Km 22.26 Fresno - Manizales, , Mesones, Herveo, Tolima</v>
      </c>
      <c r="G412">
        <v>13</v>
      </c>
      <c r="H412">
        <v>138185</v>
      </c>
      <c r="I412">
        <v>-75.17259</v>
      </c>
      <c r="J412">
        <v>5.1376999999999997</v>
      </c>
      <c r="K412" t="s">
        <v>31</v>
      </c>
      <c r="L412" s="1">
        <v>44614</v>
      </c>
      <c r="M412" s="2" t="s">
        <v>785</v>
      </c>
      <c r="N412" t="s">
        <v>20</v>
      </c>
      <c r="O412" t="s">
        <v>21</v>
      </c>
      <c r="P412" t="s">
        <v>22</v>
      </c>
    </row>
    <row r="413" spans="1:16" x14ac:dyDescent="0.25">
      <c r="A413" t="s">
        <v>16</v>
      </c>
      <c r="B413" t="s">
        <v>17</v>
      </c>
      <c r="C413" t="s">
        <v>18</v>
      </c>
      <c r="D413" s="1">
        <v>44614</v>
      </c>
      <c r="E413" s="2" t="s">
        <v>785</v>
      </c>
      <c r="F413" s="3" t="str">
        <f>HYPERLINK("https://maps.google.com/maps?q=5.13466,-75.17181&amp;ll=5.13466,-75.17181&amp;z=14.75z","Vía Bogotá D.C. - Manizales, Km 21.83 Fresno - Manizales, , Mesones, Herveo, Tolima")</f>
        <v>Vía Bogotá D.C. - Manizales, Km 21.83 Fresno - Manizales, , Mesones, Herveo, Tolima</v>
      </c>
      <c r="G413">
        <v>27</v>
      </c>
      <c r="H413">
        <v>138186</v>
      </c>
      <c r="I413">
        <v>-75.171809999999994</v>
      </c>
      <c r="J413">
        <v>5.1346600000000002</v>
      </c>
      <c r="K413" t="s">
        <v>31</v>
      </c>
      <c r="L413" s="1">
        <v>44614</v>
      </c>
      <c r="M413" s="2" t="s">
        <v>785</v>
      </c>
      <c r="N413" t="s">
        <v>20</v>
      </c>
      <c r="O413" t="s">
        <v>21</v>
      </c>
      <c r="P413" t="s">
        <v>22</v>
      </c>
    </row>
    <row r="414" spans="1:16" x14ac:dyDescent="0.25">
      <c r="A414" t="s">
        <v>16</v>
      </c>
      <c r="B414" t="s">
        <v>17</v>
      </c>
      <c r="C414" t="s">
        <v>18</v>
      </c>
      <c r="D414" s="1">
        <v>44614</v>
      </c>
      <c r="E414" s="2" t="s">
        <v>738</v>
      </c>
      <c r="F414" s="3" t="str">
        <f>HYPERLINK("https://maps.google.com/maps?q=5.13473,-75.16847&amp;ll=5.13473,-75.16847&amp;z=14.75z","Vía Bogotá D.C. - Manizales, Km 21.33 Fresno - Manizales, , El Topacio, Herveo, Tolima")</f>
        <v>Vía Bogotá D.C. - Manizales, Km 21.33 Fresno - Manizales, , El Topacio, Herveo, Tolima</v>
      </c>
      <c r="G414">
        <v>17</v>
      </c>
      <c r="H414">
        <v>138186</v>
      </c>
      <c r="I414">
        <v>-75.168469999999999</v>
      </c>
      <c r="J414">
        <v>5.1347300000000002</v>
      </c>
      <c r="K414" t="s">
        <v>24</v>
      </c>
      <c r="L414" s="1">
        <v>44614</v>
      </c>
      <c r="M414" s="2" t="s">
        <v>786</v>
      </c>
      <c r="N414" t="s">
        <v>20</v>
      </c>
      <c r="O414" t="s">
        <v>21</v>
      </c>
      <c r="P414" t="s">
        <v>22</v>
      </c>
    </row>
    <row r="415" spans="1:16" x14ac:dyDescent="0.25">
      <c r="A415" t="s">
        <v>16</v>
      </c>
      <c r="B415" t="s">
        <v>17</v>
      </c>
      <c r="C415" t="s">
        <v>18</v>
      </c>
      <c r="D415" s="1">
        <v>44614</v>
      </c>
      <c r="E415" s="2" t="s">
        <v>738</v>
      </c>
      <c r="F415" s="3" t="str">
        <f>HYPERLINK("https://maps.google.com/maps?q=5.13723,-75.16766&amp;ll=5.13723,-75.16766&amp;z=14.75z","Vía Bogotá D.C. - Manizales, Km 20.92 Fresno - Manizales, , El Topacio, Herveo, Tolima")</f>
        <v>Vía Bogotá D.C. - Manizales, Km 20.92 Fresno - Manizales, , El Topacio, Herveo, Tolima</v>
      </c>
      <c r="G415">
        <v>29</v>
      </c>
      <c r="H415">
        <v>138186</v>
      </c>
      <c r="I415">
        <v>-75.167659999999998</v>
      </c>
      <c r="J415">
        <v>5.1372299999999997</v>
      </c>
      <c r="K415" t="s">
        <v>24</v>
      </c>
      <c r="L415" s="1">
        <v>44614</v>
      </c>
      <c r="M415" s="2" t="s">
        <v>786</v>
      </c>
      <c r="N415" t="s">
        <v>20</v>
      </c>
      <c r="O415" t="s">
        <v>21</v>
      </c>
      <c r="P415" t="s">
        <v>22</v>
      </c>
    </row>
    <row r="416" spans="1:16" x14ac:dyDescent="0.25">
      <c r="A416" t="s">
        <v>16</v>
      </c>
      <c r="B416" t="s">
        <v>17</v>
      </c>
      <c r="C416" t="s">
        <v>18</v>
      </c>
      <c r="D416" s="1">
        <v>44614</v>
      </c>
      <c r="E416" s="2" t="s">
        <v>740</v>
      </c>
      <c r="F416" s="3" t="str">
        <f>HYPERLINK("https://maps.google.com/maps?q=5.13829,-75.16483&amp;ll=5.13829,-75.16483&amp;z=14.75z","Vía Bogotá D.C. - Manizales, Km 20.45 Fresno - Manizales, , La Leonera, Herveo, Tolima")</f>
        <v>Vía Bogotá D.C. - Manizales, Km 20.45 Fresno - Manizales, , La Leonera, Herveo, Tolima</v>
      </c>
      <c r="G416">
        <v>28</v>
      </c>
      <c r="H416">
        <v>138187</v>
      </c>
      <c r="I416">
        <v>-75.164829999999995</v>
      </c>
      <c r="J416">
        <v>5.1382899999999996</v>
      </c>
      <c r="K416" t="s">
        <v>24</v>
      </c>
      <c r="L416" s="1">
        <v>44614</v>
      </c>
      <c r="M416" s="2" t="s">
        <v>786</v>
      </c>
      <c r="N416" t="s">
        <v>20</v>
      </c>
      <c r="O416" t="s">
        <v>21</v>
      </c>
      <c r="P416" t="s">
        <v>22</v>
      </c>
    </row>
    <row r="417" spans="1:16" x14ac:dyDescent="0.25">
      <c r="A417" t="s">
        <v>16</v>
      </c>
      <c r="B417" t="s">
        <v>17</v>
      </c>
      <c r="C417" t="s">
        <v>18</v>
      </c>
      <c r="D417" s="1">
        <v>44614</v>
      </c>
      <c r="E417" s="2" t="s">
        <v>787</v>
      </c>
      <c r="F417" s="3" t="str">
        <f>HYPERLINK("https://maps.google.com/maps?q=5.13936,-75.16189&amp;ll=5.13936,-75.16189&amp;z=14.75z","Vía Bogotá D.C. - Manizales, Km 19.98 Fresno - Manizales, , Padua, Herveo, Tolima")</f>
        <v>Vía Bogotá D.C. - Manizales, Km 19.98 Fresno - Manizales, , Padua, Herveo, Tolima</v>
      </c>
      <c r="G417">
        <v>23</v>
      </c>
      <c r="H417">
        <v>138187</v>
      </c>
      <c r="I417">
        <v>-75.16189</v>
      </c>
      <c r="J417">
        <v>5.1393599999999999</v>
      </c>
      <c r="K417" t="s">
        <v>33</v>
      </c>
      <c r="L417" s="1">
        <v>44614</v>
      </c>
      <c r="M417" s="2" t="s">
        <v>786</v>
      </c>
      <c r="N417" t="s">
        <v>20</v>
      </c>
      <c r="O417" t="s">
        <v>21</v>
      </c>
      <c r="P417" t="s">
        <v>22</v>
      </c>
    </row>
    <row r="418" spans="1:16" x14ac:dyDescent="0.25">
      <c r="A418" t="s">
        <v>16</v>
      </c>
      <c r="B418" t="s">
        <v>17</v>
      </c>
      <c r="C418" t="s">
        <v>18</v>
      </c>
      <c r="D418" s="1">
        <v>44614</v>
      </c>
      <c r="E418" s="2" t="s">
        <v>788</v>
      </c>
      <c r="F418" s="3" t="str">
        <f>HYPERLINK("https://maps.google.com/maps?q=5.13988,-75.15991&amp;ll=5.13988,-75.15991&amp;z=14.75z","Vía Bogotá D.C. - Manizales, Km 19.52 Fresno - Manizales, , Padua, Herveo, Tolima")</f>
        <v>Vía Bogotá D.C. - Manizales, Km 19.52 Fresno - Manizales, , Padua, Herveo, Tolima</v>
      </c>
      <c r="G418">
        <v>30</v>
      </c>
      <c r="H418">
        <v>138188</v>
      </c>
      <c r="I418">
        <v>-75.159909999999996</v>
      </c>
      <c r="J418">
        <v>5.1398799999999998</v>
      </c>
      <c r="K418" t="s">
        <v>23</v>
      </c>
      <c r="L418" s="1">
        <v>44614</v>
      </c>
      <c r="M418" s="2" t="s">
        <v>786</v>
      </c>
      <c r="N418" t="s">
        <v>20</v>
      </c>
      <c r="O418" t="s">
        <v>21</v>
      </c>
      <c r="P418" t="s">
        <v>22</v>
      </c>
    </row>
    <row r="419" spans="1:16" x14ac:dyDescent="0.25">
      <c r="A419" t="s">
        <v>16</v>
      </c>
      <c r="B419" t="s">
        <v>17</v>
      </c>
      <c r="C419" t="s">
        <v>18</v>
      </c>
      <c r="D419" s="1">
        <v>44614</v>
      </c>
      <c r="E419" s="2" t="s">
        <v>789</v>
      </c>
      <c r="F419" s="3" t="str">
        <f>HYPERLINK("https://maps.google.com/maps?q=5.14189,-75.15794&amp;ll=5.14189,-75.15794&amp;z=14.75z","Vía Bogotá D.C. - Manizales, Km 19.06 Fresno - Manizales, , Padua, Herveo, Tolima")</f>
        <v>Vía Bogotá D.C. - Manizales, Km 19.06 Fresno - Manizales, , Padua, Herveo, Tolima</v>
      </c>
      <c r="G419">
        <v>27</v>
      </c>
      <c r="H419">
        <v>138188</v>
      </c>
      <c r="I419">
        <v>-75.157939999999996</v>
      </c>
      <c r="J419">
        <v>5.1418900000000001</v>
      </c>
      <c r="K419" t="s">
        <v>33</v>
      </c>
      <c r="L419" s="1">
        <v>44614</v>
      </c>
      <c r="M419" s="2" t="s">
        <v>786</v>
      </c>
      <c r="N419" t="s">
        <v>20</v>
      </c>
      <c r="O419" t="s">
        <v>21</v>
      </c>
      <c r="P419" t="s">
        <v>22</v>
      </c>
    </row>
    <row r="420" spans="1:16" x14ac:dyDescent="0.25">
      <c r="A420" t="s">
        <v>16</v>
      </c>
      <c r="B420" t="s">
        <v>17</v>
      </c>
      <c r="C420" t="s">
        <v>18</v>
      </c>
      <c r="D420" s="1">
        <v>44614</v>
      </c>
      <c r="E420" s="2" t="s">
        <v>790</v>
      </c>
      <c r="F420" s="3" t="str">
        <f>HYPERLINK("https://maps.google.com/maps?q=5.14277,-75.15498&amp;ll=5.14277,-75.15498&amp;z=14.75z","Vía Bogotá D.C. - Manizales, Km 18.59 Fresno - Manizales, , Padua, Herveo, Tolima")</f>
        <v>Vía Bogotá D.C. - Manizales, Km 18.59 Fresno - Manizales, , Padua, Herveo, Tolima</v>
      </c>
      <c r="G420">
        <v>26</v>
      </c>
      <c r="H420">
        <v>138189</v>
      </c>
      <c r="I420">
        <v>-75.154979999999995</v>
      </c>
      <c r="J420">
        <v>5.1427699999999996</v>
      </c>
      <c r="K420" t="s">
        <v>41</v>
      </c>
      <c r="L420" s="1">
        <v>44614</v>
      </c>
      <c r="M420" s="2" t="s">
        <v>786</v>
      </c>
      <c r="N420" t="s">
        <v>20</v>
      </c>
      <c r="O420" t="s">
        <v>21</v>
      </c>
      <c r="P420" t="s">
        <v>22</v>
      </c>
    </row>
    <row r="421" spans="1:16" x14ac:dyDescent="0.25">
      <c r="A421" t="s">
        <v>16</v>
      </c>
      <c r="B421" t="s">
        <v>17</v>
      </c>
      <c r="C421" t="s">
        <v>18</v>
      </c>
      <c r="D421" s="1">
        <v>44614</v>
      </c>
      <c r="E421" s="2" t="s">
        <v>791</v>
      </c>
      <c r="F421" s="3" t="str">
        <f>HYPERLINK("https://maps.google.com/maps?q=5.1457,-75.15478&amp;ll=5.1457,-75.15478&amp;z=14.75z","Vía Bogotá D.C. - Manizales, Km 18.11 Fresno - Manizales, , Padua, Herveo, Tolima")</f>
        <v>Vía Bogotá D.C. - Manizales, Km 18.11 Fresno - Manizales, , Padua, Herveo, Tolima</v>
      </c>
      <c r="G421">
        <v>31</v>
      </c>
      <c r="H421">
        <v>138189</v>
      </c>
      <c r="I421">
        <v>-75.154780000000002</v>
      </c>
      <c r="J421">
        <v>5.1456999999999997</v>
      </c>
      <c r="K421" t="s">
        <v>23</v>
      </c>
      <c r="L421" s="1">
        <v>44614</v>
      </c>
      <c r="M421" s="2" t="s">
        <v>786</v>
      </c>
      <c r="N421" t="s">
        <v>20</v>
      </c>
      <c r="O421" t="s">
        <v>21</v>
      </c>
      <c r="P421" t="s">
        <v>22</v>
      </c>
    </row>
    <row r="422" spans="1:16" x14ac:dyDescent="0.25">
      <c r="A422" t="s">
        <v>16</v>
      </c>
      <c r="B422" t="s">
        <v>17</v>
      </c>
      <c r="C422" t="s">
        <v>18</v>
      </c>
      <c r="D422" s="1">
        <v>44614</v>
      </c>
      <c r="E422" s="2" t="s">
        <v>792</v>
      </c>
      <c r="F422" s="3" t="str">
        <f>HYPERLINK("https://maps.google.com/maps?q=5.14428,-75.15273&amp;ll=5.14428,-75.15273&amp;z=14.75z","Vía Bogotá D.C. - Manizales, Km 17.64 Fresno - Manizales, , Padua, Herveo, Tolima")</f>
        <v>Vía Bogotá D.C. - Manizales, Km 17.64 Fresno - Manizales, , Padua, Herveo, Tolima</v>
      </c>
      <c r="G422">
        <v>30</v>
      </c>
      <c r="H422">
        <v>138190</v>
      </c>
      <c r="I422">
        <v>-75.152730000000005</v>
      </c>
      <c r="J422">
        <v>5.1442800000000002</v>
      </c>
      <c r="K422" t="s">
        <v>41</v>
      </c>
      <c r="L422" s="1">
        <v>44614</v>
      </c>
      <c r="M422" s="2" t="s">
        <v>786</v>
      </c>
      <c r="N422" t="s">
        <v>20</v>
      </c>
      <c r="O422" t="s">
        <v>21</v>
      </c>
      <c r="P422" t="s">
        <v>22</v>
      </c>
    </row>
    <row r="423" spans="1:16" x14ac:dyDescent="0.25">
      <c r="A423" t="s">
        <v>16</v>
      </c>
      <c r="B423" t="s">
        <v>17</v>
      </c>
      <c r="C423" t="s">
        <v>27</v>
      </c>
      <c r="D423" s="1">
        <v>44614</v>
      </c>
      <c r="E423" s="2" t="s">
        <v>793</v>
      </c>
      <c r="F423" s="3" t="str">
        <f>HYPERLINK("https://maps.google.com/maps?q=5.14509,-75.14705&amp;ll=5.14509,-75.14705&amp;z=14.75z","Vía Bogotá D.C. - Manizales, Km 16.83 Fresno - Manizales, , Padua, Herveo, Tolima")</f>
        <v>Vía Bogotá D.C. - Manizales, Km 16.83 Fresno - Manizales, , Padua, Herveo, Tolima</v>
      </c>
      <c r="G423">
        <v>32</v>
      </c>
      <c r="H423">
        <v>138190</v>
      </c>
      <c r="I423">
        <v>-75.147049999999993</v>
      </c>
      <c r="J423">
        <v>5.1450899999999997</v>
      </c>
      <c r="K423" t="s">
        <v>41</v>
      </c>
      <c r="L423" s="1">
        <v>44614</v>
      </c>
      <c r="M423" s="2" t="s">
        <v>786</v>
      </c>
      <c r="N423" t="s">
        <v>20</v>
      </c>
      <c r="O423" t="s">
        <v>21</v>
      </c>
      <c r="P423" t="s">
        <v>22</v>
      </c>
    </row>
    <row r="424" spans="1:16" x14ac:dyDescent="0.25">
      <c r="A424" t="s">
        <v>16</v>
      </c>
      <c r="B424" t="s">
        <v>17</v>
      </c>
      <c r="C424" t="s">
        <v>193</v>
      </c>
      <c r="D424" s="1">
        <v>44614</v>
      </c>
      <c r="E424" s="2" t="s">
        <v>786</v>
      </c>
      <c r="F424" s="3" t="str">
        <f>HYPERLINK("https://maps.google.com/maps?q=5.14491,-75.14662&amp;ll=5.14491,-75.14662&amp;z=14.75z","Vía Bogotá D.C. - Manizales, Km 16.81 Fresno - Manizales, , Padua, Herveo, Tolima")</f>
        <v>Vía Bogotá D.C. - Manizales, Km 16.81 Fresno - Manizales, , Padua, Herveo, Tolima</v>
      </c>
      <c r="G424">
        <v>27</v>
      </c>
      <c r="H424">
        <v>138190</v>
      </c>
      <c r="I424">
        <v>-75.146619999999999</v>
      </c>
      <c r="J424">
        <v>5.1449100000000003</v>
      </c>
      <c r="K424" t="s">
        <v>33</v>
      </c>
      <c r="L424" s="1">
        <v>44614</v>
      </c>
      <c r="M424" s="2" t="s">
        <v>786</v>
      </c>
      <c r="N424" t="s">
        <v>20</v>
      </c>
      <c r="O424" t="s">
        <v>21</v>
      </c>
      <c r="P424" t="s">
        <v>22</v>
      </c>
    </row>
    <row r="425" spans="1:16" x14ac:dyDescent="0.25">
      <c r="A425" t="s">
        <v>16</v>
      </c>
      <c r="B425" t="s">
        <v>17</v>
      </c>
      <c r="C425" t="s">
        <v>18</v>
      </c>
      <c r="D425" s="1">
        <v>44614</v>
      </c>
      <c r="E425" s="2" t="s">
        <v>786</v>
      </c>
      <c r="F425" s="3" t="str">
        <f>HYPERLINK("https://maps.google.com/maps?q=5.14499,-75.14555&amp;ll=5.14499,-75.14555&amp;z=14.75z","Vía Bogotá D.C. - Manizales, Km 16.6 Fresno - Manizales, , Padua, Herveo, Tolima")</f>
        <v>Vía Bogotá D.C. - Manizales, Km 16.6 Fresno - Manizales, , Padua, Herveo, Tolima</v>
      </c>
      <c r="G425">
        <v>32</v>
      </c>
      <c r="H425">
        <v>138191</v>
      </c>
      <c r="I425">
        <v>-75.14555</v>
      </c>
      <c r="J425">
        <v>5.14499</v>
      </c>
      <c r="K425" t="s">
        <v>24</v>
      </c>
      <c r="L425" s="1">
        <v>44614</v>
      </c>
      <c r="M425" s="2" t="s">
        <v>794</v>
      </c>
      <c r="N425" t="s">
        <v>20</v>
      </c>
      <c r="O425" t="s">
        <v>21</v>
      </c>
      <c r="P425" t="s">
        <v>22</v>
      </c>
    </row>
    <row r="426" spans="1:16" x14ac:dyDescent="0.25">
      <c r="A426" t="s">
        <v>16</v>
      </c>
      <c r="B426" t="s">
        <v>17</v>
      </c>
      <c r="C426" t="s">
        <v>18</v>
      </c>
      <c r="D426" s="1">
        <v>44614</v>
      </c>
      <c r="E426" s="2" t="s">
        <v>794</v>
      </c>
      <c r="F426" s="3" t="str">
        <f>HYPERLINK("https://maps.google.com/maps?q=5.14245,-75.14396&amp;ll=5.14245,-75.14396&amp;z=14.75z","Vía Bogotá D.C. - Manizales, Km 16.12 Fresno - Manizales, , Padua, Herveo, Tolima")</f>
        <v>Vía Bogotá D.C. - Manizales, Km 16.12 Fresno - Manizales, , Padua, Herveo, Tolima</v>
      </c>
      <c r="G426">
        <v>31</v>
      </c>
      <c r="H426">
        <v>138191</v>
      </c>
      <c r="I426">
        <v>-75.143960000000007</v>
      </c>
      <c r="J426">
        <v>5.1424500000000002</v>
      </c>
      <c r="K426" t="s">
        <v>30</v>
      </c>
      <c r="L426" s="1">
        <v>44614</v>
      </c>
      <c r="M426" s="2" t="s">
        <v>795</v>
      </c>
      <c r="N426" t="s">
        <v>20</v>
      </c>
      <c r="O426" t="s">
        <v>21</v>
      </c>
      <c r="P426" t="s">
        <v>22</v>
      </c>
    </row>
    <row r="427" spans="1:16" x14ac:dyDescent="0.25">
      <c r="A427" t="s">
        <v>16</v>
      </c>
      <c r="B427" t="s">
        <v>17</v>
      </c>
      <c r="C427" t="s">
        <v>18</v>
      </c>
      <c r="D427" s="1">
        <v>44614</v>
      </c>
      <c r="E427" s="2" t="s">
        <v>794</v>
      </c>
      <c r="F427" s="3" t="str">
        <f>HYPERLINK("https://maps.google.com/maps?q=5.14245,-75.14396&amp;ll=5.14245,-75.14396&amp;z=14.75z","Vía Bogotá D.C. - Manizales, Km 16.12 Fresno - Manizales, , Padua, Herveo, Tolima")</f>
        <v>Vía Bogotá D.C. - Manizales, Km 16.12 Fresno - Manizales, , Padua, Herveo, Tolima</v>
      </c>
      <c r="G427">
        <v>31</v>
      </c>
      <c r="H427">
        <v>138191</v>
      </c>
      <c r="I427">
        <v>-75.143960000000007</v>
      </c>
      <c r="J427">
        <v>5.1424500000000002</v>
      </c>
      <c r="K427" t="s">
        <v>30</v>
      </c>
      <c r="L427" s="1">
        <v>44614</v>
      </c>
      <c r="M427" s="2" t="s">
        <v>795</v>
      </c>
      <c r="N427" t="s">
        <v>20</v>
      </c>
      <c r="O427" t="s">
        <v>21</v>
      </c>
      <c r="P427" t="s">
        <v>22</v>
      </c>
    </row>
    <row r="428" spans="1:16" x14ac:dyDescent="0.25">
      <c r="A428" t="s">
        <v>16</v>
      </c>
      <c r="B428" t="s">
        <v>17</v>
      </c>
      <c r="C428" t="s">
        <v>18</v>
      </c>
      <c r="D428" s="1">
        <v>44614</v>
      </c>
      <c r="E428" s="2" t="s">
        <v>795</v>
      </c>
      <c r="F428" s="3" t="str">
        <f>HYPERLINK("https://maps.google.com/maps?q=5.13862,-75.144&amp;ll=5.13862,-75.144&amp;z=14.75z","Vía Bogotá D.C. - Manizales, Km 15.66 Fresno - Manizales, , Padua, Herveo, Tolima")</f>
        <v>Vía Bogotá D.C. - Manizales, Km 15.66 Fresno - Manizales, , Padua, Herveo, Tolima</v>
      </c>
      <c r="G428">
        <v>28</v>
      </c>
      <c r="H428">
        <v>138191</v>
      </c>
      <c r="I428">
        <v>-75.144000000000005</v>
      </c>
      <c r="J428">
        <v>5.1386200000000004</v>
      </c>
      <c r="K428" t="s">
        <v>30</v>
      </c>
      <c r="L428" s="1">
        <v>44614</v>
      </c>
      <c r="M428" s="2" t="s">
        <v>795</v>
      </c>
      <c r="N428" t="s">
        <v>20</v>
      </c>
      <c r="O428" t="s">
        <v>21</v>
      </c>
      <c r="P428" t="s">
        <v>22</v>
      </c>
    </row>
    <row r="429" spans="1:16" x14ac:dyDescent="0.25">
      <c r="A429" t="s">
        <v>16</v>
      </c>
      <c r="B429" t="s">
        <v>17</v>
      </c>
      <c r="C429" t="s">
        <v>18</v>
      </c>
      <c r="D429" s="1">
        <v>44614</v>
      </c>
      <c r="E429" s="2" t="s">
        <v>742</v>
      </c>
      <c r="F429" s="3" t="str">
        <f>HYPERLINK("https://maps.google.com/maps?q=5.13628,-75.14456&amp;ll=5.13628,-75.14456&amp;z=14.75z","Vía Bogotá D.C. - Manizales, Km 15.23 Fresno - Manizales, , Padua, Herveo, Tolima")</f>
        <v>Vía Bogotá D.C. - Manizales, Km 15.23 Fresno - Manizales, , Padua, Herveo, Tolima</v>
      </c>
      <c r="G429">
        <v>30</v>
      </c>
      <c r="H429">
        <v>138192</v>
      </c>
      <c r="I429">
        <v>-75.144559999999998</v>
      </c>
      <c r="J429">
        <v>5.1362800000000002</v>
      </c>
      <c r="K429" t="s">
        <v>41</v>
      </c>
      <c r="L429" s="1">
        <v>44614</v>
      </c>
      <c r="M429" s="2" t="s">
        <v>742</v>
      </c>
      <c r="N429" t="s">
        <v>20</v>
      </c>
      <c r="O429" t="s">
        <v>21</v>
      </c>
      <c r="P429" t="s">
        <v>22</v>
      </c>
    </row>
    <row r="430" spans="1:16" x14ac:dyDescent="0.25">
      <c r="A430" t="s">
        <v>16</v>
      </c>
      <c r="B430" t="s">
        <v>17</v>
      </c>
      <c r="C430" t="s">
        <v>18</v>
      </c>
      <c r="D430" s="1">
        <v>44614</v>
      </c>
      <c r="E430" s="2" t="s">
        <v>741</v>
      </c>
      <c r="F430" s="3" t="str">
        <f>HYPERLINK("https://maps.google.com/maps?q=5.13359,-75.14425&amp;ll=5.13359,-75.14425&amp;z=14.75z","Vía Bogotá D.C. - Manizales, Km 14.84 Fresno - Manizales, , Padua, Herveo, Tolima")</f>
        <v>Vía Bogotá D.C. - Manizales, Km 14.84 Fresno - Manizales, , Padua, Herveo, Tolima</v>
      </c>
      <c r="G430">
        <v>9</v>
      </c>
      <c r="H430">
        <v>138192</v>
      </c>
      <c r="I430">
        <v>-75.14425</v>
      </c>
      <c r="J430">
        <v>5.1335899999999999</v>
      </c>
      <c r="K430" t="s">
        <v>33</v>
      </c>
      <c r="L430" s="1">
        <v>44614</v>
      </c>
      <c r="M430" s="2" t="s">
        <v>741</v>
      </c>
      <c r="N430" t="s">
        <v>20</v>
      </c>
      <c r="O430" t="s">
        <v>21</v>
      </c>
      <c r="P430" t="s">
        <v>22</v>
      </c>
    </row>
    <row r="431" spans="1:16" x14ac:dyDescent="0.25">
      <c r="A431" t="s">
        <v>16</v>
      </c>
      <c r="B431" t="s">
        <v>17</v>
      </c>
      <c r="C431" t="s">
        <v>18</v>
      </c>
      <c r="D431" s="1">
        <v>44614</v>
      </c>
      <c r="E431" s="2" t="s">
        <v>796</v>
      </c>
      <c r="F431" s="3" t="str">
        <f>HYPERLINK("https://maps.google.com/maps?q=5.1333,-75.14299&amp;ll=5.1333,-75.14299&amp;z=14.75z","Vía Bogotá D.C. - Manizales, Km 14.65 Fresno - Manizales, , Padua, Herveo, Tolima")</f>
        <v>Vía Bogotá D.C. - Manizales, Km 14.65 Fresno - Manizales, , Padua, Herveo, Tolima</v>
      </c>
      <c r="G431">
        <v>23</v>
      </c>
      <c r="H431">
        <v>138192</v>
      </c>
      <c r="I431">
        <v>-75.142989999999998</v>
      </c>
      <c r="J431">
        <v>5.1333000000000002</v>
      </c>
      <c r="K431" t="s">
        <v>24</v>
      </c>
      <c r="L431" s="1">
        <v>44614</v>
      </c>
      <c r="M431" s="2" t="s">
        <v>796</v>
      </c>
      <c r="N431" t="s">
        <v>20</v>
      </c>
      <c r="O431" t="s">
        <v>21</v>
      </c>
      <c r="P431" t="s">
        <v>22</v>
      </c>
    </row>
    <row r="432" spans="1:16" x14ac:dyDescent="0.25">
      <c r="A432" t="s">
        <v>16</v>
      </c>
      <c r="B432" t="s">
        <v>17</v>
      </c>
      <c r="C432" t="s">
        <v>18</v>
      </c>
      <c r="D432" s="1">
        <v>44614</v>
      </c>
      <c r="E432" s="2" t="s">
        <v>796</v>
      </c>
      <c r="F432" s="3" t="str">
        <f>HYPERLINK("https://maps.google.com/maps?q=5.13506,-75.1402&amp;ll=5.13506,-75.1402&amp;z=14.75z","Vía Bogotá D.C. - Manizales, Km 14.29 Fresno - Manizales, , Padua, Herveo, Tolima")</f>
        <v>Vía Bogotá D.C. - Manizales, Km 14.29 Fresno - Manizales, , Padua, Herveo, Tolima</v>
      </c>
      <c r="G432">
        <v>24</v>
      </c>
      <c r="H432">
        <v>138193</v>
      </c>
      <c r="I432">
        <v>-75.140199999999993</v>
      </c>
      <c r="J432">
        <v>5.1350600000000002</v>
      </c>
      <c r="K432" t="s">
        <v>24</v>
      </c>
      <c r="L432" s="1">
        <v>44614</v>
      </c>
      <c r="M432" s="2" t="s">
        <v>797</v>
      </c>
      <c r="N432" t="s">
        <v>20</v>
      </c>
      <c r="O432" t="s">
        <v>21</v>
      </c>
      <c r="P432" t="s">
        <v>22</v>
      </c>
    </row>
    <row r="433" spans="1:16" x14ac:dyDescent="0.25">
      <c r="A433" t="s">
        <v>16</v>
      </c>
      <c r="B433" t="s">
        <v>17</v>
      </c>
      <c r="C433" t="s">
        <v>18</v>
      </c>
      <c r="D433" s="1">
        <v>44614</v>
      </c>
      <c r="E433" s="2" t="s">
        <v>797</v>
      </c>
      <c r="F433" s="3" t="str">
        <f>HYPERLINK("https://maps.google.com/maps?q=5.1379,-75.13662&amp;ll=5.1379,-75.13662&amp;z=14.75z","Vía Bogotá D.C. - Manizales, Km 13.78 Fresno - Manizales, , La Divisa, Fresno, Tolima")</f>
        <v>Vía Bogotá D.C. - Manizales, Km 13.78 Fresno - Manizales, , La Divisa, Fresno, Tolima</v>
      </c>
      <c r="G433">
        <v>37</v>
      </c>
      <c r="H433">
        <v>138193</v>
      </c>
      <c r="I433">
        <v>-75.136619999999994</v>
      </c>
      <c r="J433">
        <v>5.1379000000000001</v>
      </c>
      <c r="K433" t="s">
        <v>41</v>
      </c>
      <c r="L433" s="1">
        <v>44614</v>
      </c>
      <c r="M433" s="2" t="s">
        <v>798</v>
      </c>
      <c r="N433" t="s">
        <v>20</v>
      </c>
      <c r="O433" t="s">
        <v>21</v>
      </c>
      <c r="P433" t="s">
        <v>22</v>
      </c>
    </row>
    <row r="434" spans="1:16" x14ac:dyDescent="0.25">
      <c r="A434" t="s">
        <v>16</v>
      </c>
      <c r="B434" t="s">
        <v>17</v>
      </c>
      <c r="C434" t="s">
        <v>18</v>
      </c>
      <c r="D434" s="1">
        <v>44614</v>
      </c>
      <c r="E434" s="2" t="s">
        <v>798</v>
      </c>
      <c r="F434" s="3" t="str">
        <f>HYPERLINK("https://maps.google.com/maps?q=5.1374,-75.13215&amp;ll=5.1374,-75.13215&amp;z=14.75z","Vía Bogotá D.C. - Manizales, Km 13.25 Fresno - Manizales, , Petaqueros, Fresno, Tolima")</f>
        <v>Vía Bogotá D.C. - Manizales, Km 13.25 Fresno - Manizales, , Petaqueros, Fresno, Tolima</v>
      </c>
      <c r="G434">
        <v>28</v>
      </c>
      <c r="H434">
        <v>138194</v>
      </c>
      <c r="I434">
        <v>-75.132149999999996</v>
      </c>
      <c r="J434">
        <v>5.1374000000000004</v>
      </c>
      <c r="K434" t="s">
        <v>41</v>
      </c>
      <c r="L434" s="1">
        <v>44614</v>
      </c>
      <c r="M434" s="2" t="s">
        <v>799</v>
      </c>
      <c r="N434" t="s">
        <v>20</v>
      </c>
      <c r="O434" t="s">
        <v>21</v>
      </c>
      <c r="P434" t="s">
        <v>22</v>
      </c>
    </row>
    <row r="435" spans="1:16" x14ac:dyDescent="0.25">
      <c r="A435" t="s">
        <v>16</v>
      </c>
      <c r="B435" t="s">
        <v>17</v>
      </c>
      <c r="C435" t="s">
        <v>18</v>
      </c>
      <c r="D435" s="1">
        <v>44614</v>
      </c>
      <c r="E435" s="2" t="s">
        <v>799</v>
      </c>
      <c r="F435" s="3" t="str">
        <f>HYPERLINK("https://maps.google.com/maps?q=5.13935,-75.12857&amp;ll=5.13935,-75.12857&amp;z=14.75z","Vía Bogotá D.C. - Manizales, Km 12.71 Fresno - Manizales, , Petaqueros, Fresno, Tolima")</f>
        <v>Vía Bogotá D.C. - Manizales, Km 12.71 Fresno - Manizales, , Petaqueros, Fresno, Tolima</v>
      </c>
      <c r="G435">
        <v>31</v>
      </c>
      <c r="H435">
        <v>138194</v>
      </c>
      <c r="I435">
        <v>-75.128569999999996</v>
      </c>
      <c r="J435">
        <v>5.1393500000000003</v>
      </c>
      <c r="K435" t="s">
        <v>23</v>
      </c>
      <c r="L435" s="1">
        <v>44614</v>
      </c>
      <c r="M435" s="2" t="s">
        <v>313</v>
      </c>
      <c r="N435" t="s">
        <v>20</v>
      </c>
      <c r="O435" t="s">
        <v>21</v>
      </c>
      <c r="P435" t="s">
        <v>22</v>
      </c>
    </row>
    <row r="436" spans="1:16" x14ac:dyDescent="0.25">
      <c r="A436" t="s">
        <v>16</v>
      </c>
      <c r="B436" t="s">
        <v>17</v>
      </c>
      <c r="C436" t="s">
        <v>18</v>
      </c>
      <c r="D436" s="1">
        <v>44614</v>
      </c>
      <c r="E436" s="2" t="s">
        <v>799</v>
      </c>
      <c r="F436" s="3" t="str">
        <f>HYPERLINK("https://maps.google.com/maps?q=5.13935,-75.12857&amp;ll=5.13935,-75.12857&amp;z=14.75z","Vía Bogotá D.C. - Manizales, Km 12.71 Fresno - Manizales, , Petaqueros, Fresno, Tolima")</f>
        <v>Vía Bogotá D.C. - Manizales, Km 12.71 Fresno - Manizales, , Petaqueros, Fresno, Tolima</v>
      </c>
      <c r="G436">
        <v>31</v>
      </c>
      <c r="H436">
        <v>138194</v>
      </c>
      <c r="I436">
        <v>-75.128569999999996</v>
      </c>
      <c r="J436">
        <v>5.1393500000000003</v>
      </c>
      <c r="K436" t="s">
        <v>23</v>
      </c>
      <c r="L436" s="1">
        <v>44614</v>
      </c>
      <c r="M436" s="2" t="s">
        <v>313</v>
      </c>
      <c r="N436" t="s">
        <v>20</v>
      </c>
      <c r="O436" t="s">
        <v>21</v>
      </c>
      <c r="P436" t="s">
        <v>22</v>
      </c>
    </row>
    <row r="437" spans="1:16" x14ac:dyDescent="0.25">
      <c r="A437" t="s">
        <v>16</v>
      </c>
      <c r="B437" t="s">
        <v>17</v>
      </c>
      <c r="C437" t="s">
        <v>18</v>
      </c>
      <c r="D437" s="1">
        <v>44614</v>
      </c>
      <c r="E437" s="2" t="s">
        <v>313</v>
      </c>
      <c r="F437" s="3" t="str">
        <f>HYPERLINK("https://maps.google.com/maps?q=5.13879,-75.12514&amp;ll=5.13879,-75.12514&amp;z=14.75z","Vía Bogotá D.C. - Manizales, Km 12.24 Fresno - Manizales, , La Hondura, Fresno, Tolima")</f>
        <v>Vía Bogotá D.C. - Manizales, Km 12.24 Fresno - Manizales, , La Hondura, Fresno, Tolima</v>
      </c>
      <c r="G437">
        <v>28</v>
      </c>
      <c r="H437">
        <v>138195</v>
      </c>
      <c r="I437">
        <v>-75.125140000000002</v>
      </c>
      <c r="J437">
        <v>5.1387900000000002</v>
      </c>
      <c r="K437" t="s">
        <v>24</v>
      </c>
      <c r="L437" s="1">
        <v>44614</v>
      </c>
      <c r="M437" s="2" t="s">
        <v>313</v>
      </c>
      <c r="N437" t="s">
        <v>20</v>
      </c>
      <c r="O437" t="s">
        <v>21</v>
      </c>
      <c r="P437" t="s">
        <v>22</v>
      </c>
    </row>
    <row r="438" spans="1:16" x14ac:dyDescent="0.25">
      <c r="A438" t="s">
        <v>16</v>
      </c>
      <c r="B438" t="s">
        <v>17</v>
      </c>
      <c r="C438" t="s">
        <v>18</v>
      </c>
      <c r="D438" s="1">
        <v>44614</v>
      </c>
      <c r="E438" s="2" t="s">
        <v>800</v>
      </c>
      <c r="F438" s="3" t="str">
        <f>HYPERLINK("https://maps.google.com/maps?q=5.14063,-75.1216&amp;ll=5.14063,-75.1216&amp;z=14.75z","Vía Bogotá D.C. - Manizales, Km 11.78 Fresno - Manizales, , La Hondura, Fresno, Tolima")</f>
        <v>Vía Bogotá D.C. - Manizales, Km 11.78 Fresno - Manizales, , La Hondura, Fresno, Tolima</v>
      </c>
      <c r="G438">
        <v>33</v>
      </c>
      <c r="H438">
        <v>138195</v>
      </c>
      <c r="I438">
        <v>-75.121600000000001</v>
      </c>
      <c r="J438">
        <v>5.1406299999999998</v>
      </c>
      <c r="K438" t="s">
        <v>41</v>
      </c>
      <c r="L438" s="1">
        <v>44614</v>
      </c>
      <c r="M438" s="2" t="s">
        <v>800</v>
      </c>
      <c r="N438" t="s">
        <v>20</v>
      </c>
      <c r="O438" t="s">
        <v>21</v>
      </c>
      <c r="P438" t="s">
        <v>22</v>
      </c>
    </row>
    <row r="439" spans="1:16" x14ac:dyDescent="0.25">
      <c r="A439" t="s">
        <v>16</v>
      </c>
      <c r="B439" t="s">
        <v>17</v>
      </c>
      <c r="C439" t="s">
        <v>18</v>
      </c>
      <c r="D439" s="1">
        <v>44614</v>
      </c>
      <c r="E439" s="2" t="s">
        <v>801</v>
      </c>
      <c r="F439" s="3" t="str">
        <f>HYPERLINK("https://maps.google.com/maps?q=5.14182,-75.11817&amp;ll=5.14182,-75.11817&amp;z=14.75z","Vía Bogotá D.C. - Manizales, Km 11.29 Fresno - Manizales, , La Hondura, Fresno, Tolima")</f>
        <v>Vía Bogotá D.C. - Manizales, Km 11.29 Fresno - Manizales, , La Hondura, Fresno, Tolima</v>
      </c>
      <c r="G439">
        <v>26</v>
      </c>
      <c r="H439">
        <v>138196</v>
      </c>
      <c r="I439">
        <v>-75.118170000000006</v>
      </c>
      <c r="J439">
        <v>5.1418200000000001</v>
      </c>
      <c r="K439" t="s">
        <v>41</v>
      </c>
      <c r="L439" s="1">
        <v>44614</v>
      </c>
      <c r="M439" s="2" t="s">
        <v>802</v>
      </c>
      <c r="N439" t="s">
        <v>20</v>
      </c>
      <c r="O439" t="s">
        <v>21</v>
      </c>
      <c r="P439" t="s">
        <v>22</v>
      </c>
    </row>
    <row r="440" spans="1:16" x14ac:dyDescent="0.25">
      <c r="A440" t="s">
        <v>16</v>
      </c>
      <c r="B440" t="s">
        <v>17</v>
      </c>
      <c r="C440" t="s">
        <v>18</v>
      </c>
      <c r="D440" s="1">
        <v>44614</v>
      </c>
      <c r="E440" s="2" t="s">
        <v>802</v>
      </c>
      <c r="F440" s="3" t="str">
        <f>HYPERLINK("https://maps.google.com/maps?q=5.14359,-75.11512&amp;ll=5.14359,-75.11512&amp;z=14.75z","Vía Bogotá D.C. - Manizales, Km 10.79 Fresno - Manizales, , La Aguadita, Fresno, Tolima")</f>
        <v>Vía Bogotá D.C. - Manizales, Km 10.79 Fresno - Manizales, , La Aguadita, Fresno, Tolima</v>
      </c>
      <c r="G440">
        <v>33</v>
      </c>
      <c r="H440">
        <v>138196</v>
      </c>
      <c r="I440">
        <v>-75.115120000000005</v>
      </c>
      <c r="J440">
        <v>5.1435899999999997</v>
      </c>
      <c r="K440" t="s">
        <v>41</v>
      </c>
      <c r="L440" s="1">
        <v>44614</v>
      </c>
      <c r="M440" s="2" t="s">
        <v>802</v>
      </c>
      <c r="N440" t="s">
        <v>20</v>
      </c>
      <c r="O440" t="s">
        <v>21</v>
      </c>
      <c r="P440" t="s">
        <v>22</v>
      </c>
    </row>
    <row r="441" spans="1:16" x14ac:dyDescent="0.25">
      <c r="A441" t="s">
        <v>16</v>
      </c>
      <c r="B441" t="s">
        <v>17</v>
      </c>
      <c r="C441" t="s">
        <v>18</v>
      </c>
      <c r="D441" s="1">
        <v>44614</v>
      </c>
      <c r="E441" s="2" t="s">
        <v>803</v>
      </c>
      <c r="F441" s="3" t="str">
        <f>HYPERLINK("https://maps.google.com/maps?q=5.14532,-75.11243&amp;ll=5.14532,-75.11243&amp;z=14.75z","Vía Bogotá D.C. - Manizales, Km 10.41 Fresno - Manizales, , San Antonio, Fresno, Tolima")</f>
        <v>Vía Bogotá D.C. - Manizales, Km 10.41 Fresno - Manizales, , San Antonio, Fresno, Tolima</v>
      </c>
      <c r="G441">
        <v>33</v>
      </c>
      <c r="H441">
        <v>138197</v>
      </c>
      <c r="I441">
        <v>-75.112430000000003</v>
      </c>
      <c r="J441">
        <v>5.1453199999999999</v>
      </c>
      <c r="K441" t="s">
        <v>24</v>
      </c>
      <c r="L441" s="1">
        <v>44614</v>
      </c>
      <c r="M441" s="2" t="s">
        <v>803</v>
      </c>
      <c r="N441" t="s">
        <v>20</v>
      </c>
      <c r="O441" t="s">
        <v>21</v>
      </c>
      <c r="P441" t="s">
        <v>22</v>
      </c>
    </row>
    <row r="442" spans="1:16" x14ac:dyDescent="0.25">
      <c r="A442" t="s">
        <v>16</v>
      </c>
      <c r="B442" t="s">
        <v>17</v>
      </c>
      <c r="C442" t="s">
        <v>18</v>
      </c>
      <c r="D442" s="1">
        <v>44614</v>
      </c>
      <c r="E442" s="2" t="s">
        <v>804</v>
      </c>
      <c r="F442" s="3" t="str">
        <f>HYPERLINK("https://maps.google.com/maps?q=5.14811,-75.1092&amp;ll=5.14811,-75.1092&amp;z=14.75z","Vía Bogotá D.C. - Manizales, Km 9.94 Fresno - Manizales, , La Hondura, Fresno, Tolima")</f>
        <v>Vía Bogotá D.C. - Manizales, Km 9.94 Fresno - Manizales, , La Hondura, Fresno, Tolima</v>
      </c>
      <c r="G442">
        <v>33</v>
      </c>
      <c r="H442">
        <v>138197</v>
      </c>
      <c r="I442">
        <v>-75.109200000000001</v>
      </c>
      <c r="J442">
        <v>5.14811</v>
      </c>
      <c r="K442" t="s">
        <v>24</v>
      </c>
      <c r="L442" s="1">
        <v>44614</v>
      </c>
      <c r="M442" s="2" t="s">
        <v>804</v>
      </c>
      <c r="N442" t="s">
        <v>20</v>
      </c>
      <c r="O442" t="s">
        <v>21</v>
      </c>
      <c r="P442" t="s">
        <v>22</v>
      </c>
    </row>
    <row r="443" spans="1:16" x14ac:dyDescent="0.25">
      <c r="A443" t="s">
        <v>16</v>
      </c>
      <c r="B443" t="s">
        <v>17</v>
      </c>
      <c r="C443" t="s">
        <v>18</v>
      </c>
      <c r="D443" s="1">
        <v>44614</v>
      </c>
      <c r="E443" s="2" t="s">
        <v>805</v>
      </c>
      <c r="F443" s="3" t="str">
        <f>HYPERLINK("https://maps.google.com/maps?q=5.15048,-75.10588&amp;ll=5.15048,-75.10588&amp;z=14.75z","Vía Bogotá D.C. - Manizales, Km 9.45 Fresno - Manizales, , San Antonio, Fresno, Tolima")</f>
        <v>Vía Bogotá D.C. - Manizales, Km 9.45 Fresno - Manizales, , San Antonio, Fresno, Tolima</v>
      </c>
      <c r="G443">
        <v>30</v>
      </c>
      <c r="H443">
        <v>138198</v>
      </c>
      <c r="I443">
        <v>-75.105879999999999</v>
      </c>
      <c r="J443">
        <v>5.1504799999999999</v>
      </c>
      <c r="K443" t="s">
        <v>24</v>
      </c>
      <c r="L443" s="1">
        <v>44614</v>
      </c>
      <c r="M443" s="2" t="s">
        <v>805</v>
      </c>
      <c r="N443" t="s">
        <v>20</v>
      </c>
      <c r="O443" t="s">
        <v>21</v>
      </c>
      <c r="P443" t="s">
        <v>22</v>
      </c>
    </row>
    <row r="444" spans="1:16" x14ac:dyDescent="0.25">
      <c r="A444" t="s">
        <v>16</v>
      </c>
      <c r="B444" t="s">
        <v>17</v>
      </c>
      <c r="C444" t="s">
        <v>18</v>
      </c>
      <c r="D444" s="1">
        <v>44614</v>
      </c>
      <c r="E444" s="2" t="s">
        <v>806</v>
      </c>
      <c r="F444" s="3" t="str">
        <f>HYPERLINK("https://maps.google.com/maps?q=5.15428,-75.10235&amp;ll=5.15428,-75.10235&amp;z=14.75z","Vía Bogotá D.C. - Manizales, Km 8.86 Fresno - Manizales, , Alegrias, Fresno, Tolima")</f>
        <v>Vía Bogotá D.C. - Manizales, Km 8.86 Fresno - Manizales, , Alegrias, Fresno, Tolima</v>
      </c>
      <c r="G444">
        <v>37</v>
      </c>
      <c r="H444">
        <v>138198</v>
      </c>
      <c r="I444">
        <v>-75.102350000000001</v>
      </c>
      <c r="J444">
        <v>5.15428</v>
      </c>
      <c r="K444" t="s">
        <v>24</v>
      </c>
      <c r="L444" s="1">
        <v>44614</v>
      </c>
      <c r="M444" s="2" t="s">
        <v>806</v>
      </c>
      <c r="N444" t="s">
        <v>20</v>
      </c>
      <c r="O444" t="s">
        <v>21</v>
      </c>
      <c r="P444" t="s">
        <v>22</v>
      </c>
    </row>
    <row r="445" spans="1:16" x14ac:dyDescent="0.25">
      <c r="A445" t="s">
        <v>16</v>
      </c>
      <c r="B445" t="s">
        <v>17</v>
      </c>
      <c r="C445" t="s">
        <v>18</v>
      </c>
      <c r="D445" s="1">
        <v>44614</v>
      </c>
      <c r="E445" s="2" t="s">
        <v>807</v>
      </c>
      <c r="F445" s="3" t="str">
        <f>HYPERLINK("https://maps.google.com/maps?q=5.15795,-75.09935&amp;ll=5.15795,-75.09935&amp;z=14.75z","Vía Bogotá D.C. - Manizales, Km 8.27 Fresno - Manizales, , Alegrias, Fresno, Tolima")</f>
        <v>Vía Bogotá D.C. - Manizales, Km 8.27 Fresno - Manizales, , Alegrias, Fresno, Tolima</v>
      </c>
      <c r="G445">
        <v>29</v>
      </c>
      <c r="H445">
        <v>138199</v>
      </c>
      <c r="I445">
        <v>-75.099350000000001</v>
      </c>
      <c r="J445">
        <v>5.1579499999999996</v>
      </c>
      <c r="K445" t="s">
        <v>24</v>
      </c>
      <c r="L445" s="1">
        <v>44614</v>
      </c>
      <c r="M445" s="2" t="s">
        <v>807</v>
      </c>
      <c r="N445" t="s">
        <v>20</v>
      </c>
      <c r="O445" t="s">
        <v>21</v>
      </c>
      <c r="P445" t="s">
        <v>22</v>
      </c>
    </row>
    <row r="446" spans="1:16" x14ac:dyDescent="0.25">
      <c r="A446" t="s">
        <v>16</v>
      </c>
      <c r="B446" t="s">
        <v>17</v>
      </c>
      <c r="C446" t="s">
        <v>18</v>
      </c>
      <c r="D446" s="1">
        <v>44614</v>
      </c>
      <c r="E446" s="2" t="s">
        <v>808</v>
      </c>
      <c r="F446" s="3" t="str">
        <f>HYPERLINK("https://maps.google.com/maps?q=5.16083,-75.09735&amp;ll=5.16083,-75.09735&amp;z=14.75z","Vía Bogotá D.C. - Manizales, Km 7.8 Fresno - Manizales, , Partidas, Fresno, Tolima")</f>
        <v>Vía Bogotá D.C. - Manizales, Km 7.8 Fresno - Manizales, , Partidas, Fresno, Tolima</v>
      </c>
      <c r="G446">
        <v>28</v>
      </c>
      <c r="H446">
        <v>138199</v>
      </c>
      <c r="I446">
        <v>-75.097350000000006</v>
      </c>
      <c r="J446">
        <v>5.1608299999999998</v>
      </c>
      <c r="K446" t="s">
        <v>33</v>
      </c>
      <c r="L446" s="1">
        <v>44614</v>
      </c>
      <c r="M446" s="2" t="s">
        <v>808</v>
      </c>
      <c r="N446" t="s">
        <v>20</v>
      </c>
      <c r="O446" t="s">
        <v>21</v>
      </c>
      <c r="P446" t="s">
        <v>22</v>
      </c>
    </row>
    <row r="447" spans="1:16" x14ac:dyDescent="0.25">
      <c r="A447" t="s">
        <v>16</v>
      </c>
      <c r="B447" t="s">
        <v>17</v>
      </c>
      <c r="C447" t="s">
        <v>18</v>
      </c>
      <c r="D447" s="1">
        <v>44614</v>
      </c>
      <c r="E447" s="2" t="s">
        <v>420</v>
      </c>
      <c r="F447" s="3" t="str">
        <f>HYPERLINK("https://maps.google.com/maps?q=5.15916,-75.09353&amp;ll=5.15916,-75.09353&amp;z=14.75z","Vía Bogotá D.C. - Manizales, Km 7.3 Fresno - Manizales, , Alegrias, Fresno, Tolima")</f>
        <v>Vía Bogotá D.C. - Manizales, Km 7.3 Fresno - Manizales, , Alegrias, Fresno, Tolima</v>
      </c>
      <c r="G447">
        <v>35</v>
      </c>
      <c r="H447">
        <v>138200</v>
      </c>
      <c r="I447">
        <v>-75.093530000000001</v>
      </c>
      <c r="J447">
        <v>5.15916</v>
      </c>
      <c r="K447" t="s">
        <v>41</v>
      </c>
      <c r="L447" s="1">
        <v>44614</v>
      </c>
      <c r="M447" s="2" t="s">
        <v>422</v>
      </c>
      <c r="N447" t="s">
        <v>20</v>
      </c>
      <c r="O447" t="s">
        <v>21</v>
      </c>
      <c r="P447" t="s">
        <v>22</v>
      </c>
    </row>
    <row r="448" spans="1:16" x14ac:dyDescent="0.25">
      <c r="A448" t="s">
        <v>16</v>
      </c>
      <c r="B448" t="s">
        <v>17</v>
      </c>
      <c r="C448" t="s">
        <v>18</v>
      </c>
      <c r="D448" s="1">
        <v>44614</v>
      </c>
      <c r="E448" s="2" t="s">
        <v>420</v>
      </c>
      <c r="F448" s="3" t="str">
        <f>HYPERLINK("https://maps.google.com/maps?q=5.15916,-75.09353&amp;ll=5.15916,-75.09353&amp;z=14.75z","Vía Bogotá D.C. - Manizales, Km 7.3 Fresno - Manizales, , Alegrias, Fresno, Tolima")</f>
        <v>Vía Bogotá D.C. - Manizales, Km 7.3 Fresno - Manizales, , Alegrias, Fresno, Tolima</v>
      </c>
      <c r="G448">
        <v>35</v>
      </c>
      <c r="H448">
        <v>138200</v>
      </c>
      <c r="I448">
        <v>-75.093530000000001</v>
      </c>
      <c r="J448">
        <v>5.15916</v>
      </c>
      <c r="K448" t="s">
        <v>41</v>
      </c>
      <c r="L448" s="1">
        <v>44614</v>
      </c>
      <c r="M448" s="2" t="s">
        <v>422</v>
      </c>
      <c r="N448" t="s">
        <v>20</v>
      </c>
      <c r="O448" t="s">
        <v>21</v>
      </c>
      <c r="P448" t="s">
        <v>22</v>
      </c>
    </row>
    <row r="449" spans="1:16" x14ac:dyDescent="0.25">
      <c r="A449" t="s">
        <v>16</v>
      </c>
      <c r="B449" t="s">
        <v>17</v>
      </c>
      <c r="C449" t="s">
        <v>18</v>
      </c>
      <c r="D449" s="1">
        <v>44614</v>
      </c>
      <c r="E449" s="2" t="s">
        <v>420</v>
      </c>
      <c r="F449" s="3" t="str">
        <f>HYPERLINK("https://maps.google.com/maps?q=5.15916,-75.09353&amp;ll=5.15916,-75.09353&amp;z=14.75z","Vía Bogotá D.C. - Manizales, Km 7.3 Fresno - Manizales, , Alegrias, Fresno, Tolima")</f>
        <v>Vía Bogotá D.C. - Manizales, Km 7.3 Fresno - Manizales, , Alegrias, Fresno, Tolima</v>
      </c>
      <c r="G449">
        <v>35</v>
      </c>
      <c r="H449">
        <v>138200</v>
      </c>
      <c r="I449">
        <v>-75.093530000000001</v>
      </c>
      <c r="J449">
        <v>5.15916</v>
      </c>
      <c r="K449" t="s">
        <v>41</v>
      </c>
      <c r="L449" s="1">
        <v>44614</v>
      </c>
      <c r="M449" s="2" t="s">
        <v>422</v>
      </c>
      <c r="N449" t="s">
        <v>20</v>
      </c>
      <c r="O449" t="s">
        <v>21</v>
      </c>
      <c r="P449" t="s">
        <v>22</v>
      </c>
    </row>
    <row r="450" spans="1:16" x14ac:dyDescent="0.25">
      <c r="A450" t="s">
        <v>16</v>
      </c>
      <c r="B450" t="s">
        <v>17</v>
      </c>
      <c r="C450" t="s">
        <v>18</v>
      </c>
      <c r="D450" s="1">
        <v>44614</v>
      </c>
      <c r="E450" s="2" t="s">
        <v>420</v>
      </c>
      <c r="F450" s="3" t="str">
        <f>HYPERLINK("https://maps.google.com/maps?q=5.15916,-75.09353&amp;ll=5.15916,-75.09353&amp;z=14.75z","Vía Bogotá D.C. - Manizales, Km 7.3 Fresno - Manizales, , Alegrias, Fresno, Tolima")</f>
        <v>Vía Bogotá D.C. - Manizales, Km 7.3 Fresno - Manizales, , Alegrias, Fresno, Tolima</v>
      </c>
      <c r="G450">
        <v>35</v>
      </c>
      <c r="H450">
        <v>138200</v>
      </c>
      <c r="I450">
        <v>-75.093530000000001</v>
      </c>
      <c r="J450">
        <v>5.15916</v>
      </c>
      <c r="K450" t="s">
        <v>41</v>
      </c>
      <c r="L450" s="1">
        <v>44614</v>
      </c>
      <c r="M450" s="2" t="s">
        <v>422</v>
      </c>
      <c r="N450" t="s">
        <v>20</v>
      </c>
      <c r="O450" t="s">
        <v>21</v>
      </c>
      <c r="P450" t="s">
        <v>22</v>
      </c>
    </row>
    <row r="451" spans="1:16" x14ac:dyDescent="0.25">
      <c r="A451" t="s">
        <v>16</v>
      </c>
      <c r="B451" t="s">
        <v>17</v>
      </c>
      <c r="C451" t="s">
        <v>18</v>
      </c>
      <c r="D451" s="1">
        <v>44614</v>
      </c>
      <c r="E451" s="2" t="s">
        <v>420</v>
      </c>
      <c r="F451" s="3" t="str">
        <f>HYPERLINK("https://maps.google.com/maps?q=5.15946,-75.08912&amp;ll=5.15946,-75.08912&amp;z=14.75z","Vía Bogotá D.C. - Manizales, Km 6.8 Fresno - Manizales, , Alegrias, Fresno, Tolima")</f>
        <v>Vía Bogotá D.C. - Manizales, Km 6.8 Fresno - Manizales, , Alegrias, Fresno, Tolima</v>
      </c>
      <c r="G451">
        <v>29</v>
      </c>
      <c r="H451">
        <v>138200</v>
      </c>
      <c r="I451">
        <v>-75.089119999999994</v>
      </c>
      <c r="J451">
        <v>5.1594600000000002</v>
      </c>
      <c r="K451" t="s">
        <v>41</v>
      </c>
      <c r="L451" s="1">
        <v>44614</v>
      </c>
      <c r="M451" s="2" t="s">
        <v>422</v>
      </c>
      <c r="N451" t="s">
        <v>20</v>
      </c>
      <c r="O451" t="s">
        <v>21</v>
      </c>
      <c r="P451" t="s">
        <v>22</v>
      </c>
    </row>
    <row r="452" spans="1:16" x14ac:dyDescent="0.25">
      <c r="A452" t="s">
        <v>16</v>
      </c>
      <c r="B452" t="s">
        <v>17</v>
      </c>
      <c r="C452" t="s">
        <v>18</v>
      </c>
      <c r="D452" s="1">
        <v>44614</v>
      </c>
      <c r="E452" s="2" t="s">
        <v>421</v>
      </c>
      <c r="F452" s="3" t="str">
        <f>HYPERLINK("https://maps.google.com/maps?q=5.15833,-75.0877&amp;ll=5.15833,-75.0877&amp;z=14.75z","Vía Bogotá D.C. - Manizales, Km 6.37 Fresno - Manizales, , Alegrias, Fresno, Tolima")</f>
        <v>Vía Bogotá D.C. - Manizales, Km 6.37 Fresno - Manizales, , Alegrias, Fresno, Tolima</v>
      </c>
      <c r="G452">
        <v>21</v>
      </c>
      <c r="H452">
        <v>138201</v>
      </c>
      <c r="I452">
        <v>-75.087699999999998</v>
      </c>
      <c r="J452">
        <v>5.1583300000000003</v>
      </c>
      <c r="K452" t="s">
        <v>33</v>
      </c>
      <c r="L452" s="1">
        <v>44614</v>
      </c>
      <c r="M452" s="2" t="s">
        <v>422</v>
      </c>
      <c r="N452" t="s">
        <v>20</v>
      </c>
      <c r="O452" t="s">
        <v>21</v>
      </c>
      <c r="P452" t="s">
        <v>22</v>
      </c>
    </row>
    <row r="453" spans="1:16" x14ac:dyDescent="0.25">
      <c r="A453" t="s">
        <v>16</v>
      </c>
      <c r="B453" t="s">
        <v>17</v>
      </c>
      <c r="C453" t="s">
        <v>18</v>
      </c>
      <c r="D453" s="1">
        <v>44614</v>
      </c>
      <c r="E453" s="2" t="s">
        <v>422</v>
      </c>
      <c r="F453" s="3" t="str">
        <f>HYPERLINK("https://maps.google.com/maps?q=5.15653,-75.08398&amp;ll=5.15653,-75.08398&amp;z=14.75z","Vía Bogotá D.C. - Manizales, Km 5.84 Fresno - Manizales, , Alegrias, Fresno, Tolima")</f>
        <v>Vía Bogotá D.C. - Manizales, Km 5.84 Fresno - Manizales, , Alegrias, Fresno, Tolima</v>
      </c>
      <c r="G453">
        <v>46</v>
      </c>
      <c r="H453">
        <v>138201</v>
      </c>
      <c r="I453">
        <v>-75.083979999999997</v>
      </c>
      <c r="J453">
        <v>5.1565300000000001</v>
      </c>
      <c r="K453" t="s">
        <v>41</v>
      </c>
      <c r="L453" s="1">
        <v>44614</v>
      </c>
      <c r="M453" s="2" t="s">
        <v>809</v>
      </c>
      <c r="N453" t="s">
        <v>20</v>
      </c>
      <c r="O453" t="s">
        <v>21</v>
      </c>
      <c r="P453" t="s">
        <v>22</v>
      </c>
    </row>
    <row r="454" spans="1:16" x14ac:dyDescent="0.25">
      <c r="A454" t="s">
        <v>16</v>
      </c>
      <c r="B454" t="s">
        <v>17</v>
      </c>
      <c r="C454" t="s">
        <v>18</v>
      </c>
      <c r="D454" s="1">
        <v>44614</v>
      </c>
      <c r="E454" s="2" t="s">
        <v>422</v>
      </c>
      <c r="F454" s="3" t="str">
        <f>HYPERLINK("https://maps.google.com/maps?q=5.15653,-75.08398&amp;ll=5.15653,-75.08398&amp;z=14.75z","Vía Bogotá D.C. - Manizales, Km 5.84 Fresno - Manizales, , Alegrias, Fresno, Tolima")</f>
        <v>Vía Bogotá D.C. - Manizales, Km 5.84 Fresno - Manizales, , Alegrias, Fresno, Tolima</v>
      </c>
      <c r="G454">
        <v>46</v>
      </c>
      <c r="H454">
        <v>138201</v>
      </c>
      <c r="I454">
        <v>-75.083979999999997</v>
      </c>
      <c r="J454">
        <v>5.1565300000000001</v>
      </c>
      <c r="K454" t="s">
        <v>41</v>
      </c>
      <c r="L454" s="1">
        <v>44614</v>
      </c>
      <c r="M454" s="2" t="s">
        <v>809</v>
      </c>
      <c r="N454" t="s">
        <v>20</v>
      </c>
      <c r="O454" t="s">
        <v>21</v>
      </c>
      <c r="P454" t="s">
        <v>22</v>
      </c>
    </row>
    <row r="455" spans="1:16" x14ac:dyDescent="0.25">
      <c r="A455" t="s">
        <v>16</v>
      </c>
      <c r="B455" t="s">
        <v>17</v>
      </c>
      <c r="C455" t="s">
        <v>18</v>
      </c>
      <c r="D455" s="1">
        <v>44614</v>
      </c>
      <c r="E455" s="2" t="s">
        <v>422</v>
      </c>
      <c r="F455" s="3" t="str">
        <f>HYPERLINK("https://maps.google.com/maps?q=5.15653,-75.08398&amp;ll=5.15653,-75.08398&amp;z=14.75z","Vía Bogotá D.C. - Manizales, Km 5.84 Fresno - Manizales, , Alegrias, Fresno, Tolima")</f>
        <v>Vía Bogotá D.C. - Manizales, Km 5.84 Fresno - Manizales, , Alegrias, Fresno, Tolima</v>
      </c>
      <c r="G455">
        <v>46</v>
      </c>
      <c r="H455">
        <v>138201</v>
      </c>
      <c r="I455">
        <v>-75.083979999999997</v>
      </c>
      <c r="J455">
        <v>5.1565300000000001</v>
      </c>
      <c r="K455" t="s">
        <v>41</v>
      </c>
      <c r="L455" s="1">
        <v>44614</v>
      </c>
      <c r="M455" s="2" t="s">
        <v>809</v>
      </c>
      <c r="N455" t="s">
        <v>20</v>
      </c>
      <c r="O455" t="s">
        <v>21</v>
      </c>
      <c r="P455" t="s">
        <v>22</v>
      </c>
    </row>
    <row r="456" spans="1:16" x14ac:dyDescent="0.25">
      <c r="A456" t="s">
        <v>16</v>
      </c>
      <c r="B456" t="s">
        <v>17</v>
      </c>
      <c r="C456" t="s">
        <v>18</v>
      </c>
      <c r="D456" s="1">
        <v>44614</v>
      </c>
      <c r="E456" s="2" t="s">
        <v>810</v>
      </c>
      <c r="F456" s="3" t="str">
        <f>HYPERLINK("https://maps.google.com/maps?q=5.15794,-75.07952&amp;ll=5.15794,-75.07952&amp;z=14.75z","Vía Bogotá D.C. - Manizales, Km 5.31 Fresno - Manizales, , Alegrias, Fresno, Tolima")</f>
        <v>Vía Bogotá D.C. - Manizales, Km 5.31 Fresno - Manizales, , Alegrias, Fresno, Tolima</v>
      </c>
      <c r="G456">
        <v>29</v>
      </c>
      <c r="H456">
        <v>138202</v>
      </c>
      <c r="I456">
        <v>-75.079520000000002</v>
      </c>
      <c r="J456">
        <v>5.15794</v>
      </c>
      <c r="K456" t="s">
        <v>41</v>
      </c>
      <c r="L456" s="1">
        <v>44614</v>
      </c>
      <c r="M456" s="2" t="s">
        <v>809</v>
      </c>
      <c r="N456" t="s">
        <v>20</v>
      </c>
      <c r="O456" t="s">
        <v>21</v>
      </c>
      <c r="P456" t="s">
        <v>22</v>
      </c>
    </row>
    <row r="457" spans="1:16" x14ac:dyDescent="0.25">
      <c r="A457" t="s">
        <v>16</v>
      </c>
      <c r="B457" t="s">
        <v>17</v>
      </c>
      <c r="C457" t="s">
        <v>18</v>
      </c>
      <c r="D457" s="1">
        <v>44614</v>
      </c>
      <c r="E457" s="2" t="s">
        <v>809</v>
      </c>
      <c r="F457" s="3" t="str">
        <f>HYPERLINK("https://maps.google.com/maps?q=5.15812,-75.07522&amp;ll=5.15812,-75.07522&amp;z=14.75z","Vía Bogotá D.C. - Manizales, Km 4.78 Fresno - Manizales, , La Florida, Fresno, Tolima")</f>
        <v>Vía Bogotá D.C. - Manizales, Km 4.78 Fresno - Manizales, , La Florida, Fresno, Tolima</v>
      </c>
      <c r="G457">
        <v>32</v>
      </c>
      <c r="H457">
        <v>138202</v>
      </c>
      <c r="I457">
        <v>-75.075220000000002</v>
      </c>
      <c r="J457">
        <v>5.1581200000000003</v>
      </c>
      <c r="K457" t="s">
        <v>41</v>
      </c>
      <c r="L457" s="1">
        <v>44614</v>
      </c>
      <c r="M457" s="2" t="s">
        <v>811</v>
      </c>
      <c r="N457" t="s">
        <v>20</v>
      </c>
      <c r="O457" t="s">
        <v>21</v>
      </c>
      <c r="P457" t="s">
        <v>22</v>
      </c>
    </row>
    <row r="458" spans="1:16" x14ac:dyDescent="0.25">
      <c r="A458" t="s">
        <v>16</v>
      </c>
      <c r="B458" t="s">
        <v>17</v>
      </c>
      <c r="C458" t="s">
        <v>18</v>
      </c>
      <c r="D458" s="1">
        <v>44614</v>
      </c>
      <c r="E458" s="2" t="s">
        <v>809</v>
      </c>
      <c r="F458" s="3" t="str">
        <f>HYPERLINK("https://maps.google.com/maps?q=5.15812,-75.07522&amp;ll=5.15812,-75.07522&amp;z=14.75z","Vía Bogotá D.C. - Manizales, Km 4.78 Fresno - Manizales, , La Florida, Fresno, Tolima")</f>
        <v>Vía Bogotá D.C. - Manizales, Km 4.78 Fresno - Manizales, , La Florida, Fresno, Tolima</v>
      </c>
      <c r="G458">
        <v>32</v>
      </c>
      <c r="H458">
        <v>138202</v>
      </c>
      <c r="I458">
        <v>-75.075220000000002</v>
      </c>
      <c r="J458">
        <v>5.1581200000000003</v>
      </c>
      <c r="K458" t="s">
        <v>41</v>
      </c>
      <c r="L458" s="1">
        <v>44614</v>
      </c>
      <c r="M458" s="2" t="s">
        <v>811</v>
      </c>
      <c r="N458" t="s">
        <v>20</v>
      </c>
      <c r="O458" t="s">
        <v>21</v>
      </c>
      <c r="P458" t="s">
        <v>22</v>
      </c>
    </row>
    <row r="459" spans="1:16" x14ac:dyDescent="0.25">
      <c r="A459" t="s">
        <v>16</v>
      </c>
      <c r="B459" t="s">
        <v>17</v>
      </c>
      <c r="C459" t="s">
        <v>18</v>
      </c>
      <c r="D459" s="1">
        <v>44614</v>
      </c>
      <c r="E459" s="2" t="s">
        <v>812</v>
      </c>
      <c r="F459" s="3" t="str">
        <f>HYPERLINK("https://maps.google.com/maps?q=5.1566,-75.07086&amp;ll=5.1566,-75.07086&amp;z=14.75z","Vía Bogotá D.C. - Manizales, Km 4.22 Fresno - Manizales, , La Florida, Fresno, Tolima")</f>
        <v>Vía Bogotá D.C. - Manizales, Km 4.22 Fresno - Manizales, , La Florida, Fresno, Tolima</v>
      </c>
      <c r="G459">
        <v>40</v>
      </c>
      <c r="H459">
        <v>138203</v>
      </c>
      <c r="I459">
        <v>-75.070859999999996</v>
      </c>
      <c r="J459">
        <v>5.1566000000000001</v>
      </c>
      <c r="K459" t="s">
        <v>41</v>
      </c>
      <c r="L459" s="1">
        <v>44614</v>
      </c>
      <c r="M459" s="2" t="s">
        <v>811</v>
      </c>
      <c r="N459" t="s">
        <v>20</v>
      </c>
      <c r="O459" t="s">
        <v>21</v>
      </c>
      <c r="P459" t="s">
        <v>22</v>
      </c>
    </row>
    <row r="460" spans="1:16" x14ac:dyDescent="0.25">
      <c r="A460" t="s">
        <v>16</v>
      </c>
      <c r="B460" t="s">
        <v>17</v>
      </c>
      <c r="C460" t="s">
        <v>18</v>
      </c>
      <c r="D460" s="1">
        <v>44614</v>
      </c>
      <c r="E460" s="2" t="s">
        <v>812</v>
      </c>
      <c r="F460" s="3" t="str">
        <f>HYPERLINK("https://maps.google.com/maps?q=5.1566,-75.07086&amp;ll=5.1566,-75.07086&amp;z=14.75z","Vía Bogotá D.C. - Manizales, Km 4.22 Fresno - Manizales, , La Florida, Fresno, Tolima")</f>
        <v>Vía Bogotá D.C. - Manizales, Km 4.22 Fresno - Manizales, , La Florida, Fresno, Tolima</v>
      </c>
      <c r="G460">
        <v>40</v>
      </c>
      <c r="H460">
        <v>138203</v>
      </c>
      <c r="I460">
        <v>-75.070859999999996</v>
      </c>
      <c r="J460">
        <v>5.1566000000000001</v>
      </c>
      <c r="K460" t="s">
        <v>41</v>
      </c>
      <c r="L460" s="1">
        <v>44614</v>
      </c>
      <c r="M460" s="2" t="s">
        <v>289</v>
      </c>
      <c r="N460" t="s">
        <v>20</v>
      </c>
      <c r="O460" t="s">
        <v>21</v>
      </c>
      <c r="P460" t="s">
        <v>22</v>
      </c>
    </row>
    <row r="461" spans="1:16" x14ac:dyDescent="0.25">
      <c r="A461" t="s">
        <v>16</v>
      </c>
      <c r="B461" t="s">
        <v>17</v>
      </c>
      <c r="C461" t="s">
        <v>18</v>
      </c>
      <c r="D461" s="1">
        <v>44614</v>
      </c>
      <c r="E461" s="2" t="s">
        <v>811</v>
      </c>
      <c r="F461" s="3" t="str">
        <f>HYPERLINK("https://maps.google.com/maps?q=5.15759,-75.06581&amp;ll=5.15759,-75.06581&amp;z=14.75z","Vía Bogotá D.C. - Manizales, Km 3.62 Fresno - Manizales, , La Florida, Fresno, Tolima")</f>
        <v>Vía Bogotá D.C. - Manizales, Km 3.62 Fresno - Manizales, , La Florida, Fresno, Tolima</v>
      </c>
      <c r="G461">
        <v>37</v>
      </c>
      <c r="H461">
        <v>138203</v>
      </c>
      <c r="I461">
        <v>-75.065809999999999</v>
      </c>
      <c r="J461">
        <v>5.1575899999999999</v>
      </c>
      <c r="K461" t="s">
        <v>24</v>
      </c>
      <c r="L461" s="1">
        <v>44614</v>
      </c>
      <c r="M461" s="2" t="s">
        <v>289</v>
      </c>
      <c r="N461" t="s">
        <v>20</v>
      </c>
      <c r="O461" t="s">
        <v>21</v>
      </c>
      <c r="P461" t="s">
        <v>22</v>
      </c>
    </row>
    <row r="462" spans="1:16" x14ac:dyDescent="0.25">
      <c r="A462" t="s">
        <v>16</v>
      </c>
      <c r="B462" t="s">
        <v>17</v>
      </c>
      <c r="C462" t="s">
        <v>18</v>
      </c>
      <c r="D462" s="1">
        <v>44614</v>
      </c>
      <c r="E462" s="2" t="s">
        <v>289</v>
      </c>
      <c r="F462" s="3" t="str">
        <f>HYPERLINK("https://maps.google.com/maps?q=5.15805,-75.06092&amp;ll=5.15805,-75.06092&amp;z=14.75z","Vía Bogotá D.C. - Manizales, Km 3.06 Fresno - Manizales, , La Florida, Fresno, Tolima")</f>
        <v>Vía Bogotá D.C. - Manizales, Km 3.06 Fresno - Manizales, , La Florida, Fresno, Tolima</v>
      </c>
      <c r="G462">
        <v>31</v>
      </c>
      <c r="H462">
        <v>138204</v>
      </c>
      <c r="I462">
        <v>-75.060919999999996</v>
      </c>
      <c r="J462">
        <v>5.1580500000000002</v>
      </c>
      <c r="K462" t="s">
        <v>41</v>
      </c>
      <c r="L462" s="1">
        <v>44614</v>
      </c>
      <c r="M462" s="2" t="s">
        <v>289</v>
      </c>
      <c r="N462" t="s">
        <v>20</v>
      </c>
      <c r="O462" t="s">
        <v>21</v>
      </c>
      <c r="P462" t="s">
        <v>22</v>
      </c>
    </row>
    <row r="463" spans="1:16" x14ac:dyDescent="0.25">
      <c r="A463" t="s">
        <v>16</v>
      </c>
      <c r="B463" t="s">
        <v>17</v>
      </c>
      <c r="C463" t="s">
        <v>18</v>
      </c>
      <c r="D463" s="1">
        <v>44614</v>
      </c>
      <c r="E463" s="2" t="s">
        <v>813</v>
      </c>
      <c r="F463" s="3" t="str">
        <f>HYPERLINK("https://maps.google.com/maps?q=5.16017,-75.05708&amp;ll=5.16017,-75.05708&amp;z=14.75z","Vía Bogotá D.C. - Manizales, Km 2.57 Fresno - Manizales, , La Florida, Fresno, Tolima")</f>
        <v>Vía Bogotá D.C. - Manizales, Km 2.57 Fresno - Manizales, , La Florida, Fresno, Tolima</v>
      </c>
      <c r="G463">
        <v>30</v>
      </c>
      <c r="H463">
        <v>138204</v>
      </c>
      <c r="I463">
        <v>-75.057079999999999</v>
      </c>
      <c r="J463">
        <v>5.1601699999999999</v>
      </c>
      <c r="K463" t="s">
        <v>41</v>
      </c>
      <c r="L463" s="1">
        <v>44614</v>
      </c>
      <c r="M463" s="2" t="s">
        <v>813</v>
      </c>
      <c r="N463" t="s">
        <v>20</v>
      </c>
      <c r="O463" t="s">
        <v>21</v>
      </c>
      <c r="P463" t="s">
        <v>22</v>
      </c>
    </row>
    <row r="464" spans="1:16" x14ac:dyDescent="0.25">
      <c r="A464" t="s">
        <v>16</v>
      </c>
      <c r="B464" t="s">
        <v>17</v>
      </c>
      <c r="C464" t="s">
        <v>18</v>
      </c>
      <c r="D464" s="1">
        <v>44614</v>
      </c>
      <c r="E464" s="2" t="s">
        <v>814</v>
      </c>
      <c r="F464" s="3" t="str">
        <f>HYPERLINK("https://maps.google.com/maps?q=5.15858,-75.05234&amp;ll=5.15858,-75.05234&amp;z=14.75z","Vía Bogotá D.C. - Manizales, Km 1.99 Fresno - Manizales, , La Florida, Fresno, Tolima")</f>
        <v>Vía Bogotá D.C. - Manizales, Km 1.99 Fresno - Manizales, , La Florida, Fresno, Tolima</v>
      </c>
      <c r="G464">
        <v>37</v>
      </c>
      <c r="H464">
        <v>138205</v>
      </c>
      <c r="I464">
        <v>-75.052340000000001</v>
      </c>
      <c r="J464">
        <v>5.1585799999999997</v>
      </c>
      <c r="K464" t="s">
        <v>33</v>
      </c>
      <c r="L464" s="1">
        <v>44614</v>
      </c>
      <c r="M464" s="2" t="s">
        <v>814</v>
      </c>
      <c r="N464" t="s">
        <v>20</v>
      </c>
      <c r="O464" t="s">
        <v>21</v>
      </c>
      <c r="P464" t="s">
        <v>22</v>
      </c>
    </row>
    <row r="465" spans="1:16" x14ac:dyDescent="0.25">
      <c r="A465" t="s">
        <v>16</v>
      </c>
      <c r="B465" t="s">
        <v>17</v>
      </c>
      <c r="C465" t="s">
        <v>18</v>
      </c>
      <c r="D465" s="1">
        <v>44614</v>
      </c>
      <c r="E465" s="2" t="s">
        <v>815</v>
      </c>
      <c r="F465" s="3" t="str">
        <f>HYPERLINK("https://maps.google.com/maps?q=5.15529,-75.04947&amp;ll=5.15529,-75.04947&amp;z=14.75z","Vía Bogotá D.C. - Manizales, Km 1.48 Fresno - Manizales, , La Florida, Fresno, Tolima")</f>
        <v>Vía Bogotá D.C. - Manizales, Km 1.48 Fresno - Manizales, , La Florida, Fresno, Tolima</v>
      </c>
      <c r="G465">
        <v>34</v>
      </c>
      <c r="H465">
        <v>138205</v>
      </c>
      <c r="I465">
        <v>-75.049469999999999</v>
      </c>
      <c r="J465">
        <v>5.1552899999999999</v>
      </c>
      <c r="K465" t="s">
        <v>33</v>
      </c>
      <c r="L465" s="1">
        <v>44614</v>
      </c>
      <c r="M465" s="2" t="s">
        <v>815</v>
      </c>
      <c r="N465" t="s">
        <v>20</v>
      </c>
      <c r="O465" t="s">
        <v>21</v>
      </c>
      <c r="P465" t="s">
        <v>22</v>
      </c>
    </row>
    <row r="466" spans="1:16" x14ac:dyDescent="0.25">
      <c r="A466" t="s">
        <v>16</v>
      </c>
      <c r="B466" t="s">
        <v>17</v>
      </c>
      <c r="C466" t="s">
        <v>18</v>
      </c>
      <c r="D466" s="1">
        <v>44614</v>
      </c>
      <c r="E466" s="2" t="s">
        <v>816</v>
      </c>
      <c r="F466" s="3" t="str">
        <f>HYPERLINK("https://maps.google.com/maps?q=5.15402,-75.04545&amp;ll=5.15402,-75.04545&amp;z=14.75z","Vía Bogotá D.C. - Manizales, Km 0.97 Fresno - Manizales, , La Florida, Fresno, Tolima")</f>
        <v>Vía Bogotá D.C. - Manizales, Km 0.97 Fresno - Manizales, , La Florida, Fresno, Tolima</v>
      </c>
      <c r="G466">
        <v>33</v>
      </c>
      <c r="H466">
        <v>138206</v>
      </c>
      <c r="I466">
        <v>-75.045450000000002</v>
      </c>
      <c r="J466">
        <v>5.15402</v>
      </c>
      <c r="K466" t="s">
        <v>24</v>
      </c>
      <c r="L466" s="1">
        <v>44614</v>
      </c>
      <c r="M466" s="2" t="s">
        <v>816</v>
      </c>
      <c r="N466" t="s">
        <v>20</v>
      </c>
      <c r="O466" t="s">
        <v>21</v>
      </c>
      <c r="P466" t="s">
        <v>22</v>
      </c>
    </row>
    <row r="467" spans="1:16" x14ac:dyDescent="0.25">
      <c r="A467" t="s">
        <v>16</v>
      </c>
      <c r="B467" t="s">
        <v>17</v>
      </c>
      <c r="C467" t="s">
        <v>27</v>
      </c>
      <c r="D467" s="1">
        <v>44614</v>
      </c>
      <c r="E467" s="2" t="s">
        <v>816</v>
      </c>
      <c r="F467" s="3" t="str">
        <f>HYPERLINK("https://maps.google.com/maps?q=5.15432,-75.0448&amp;ll=5.15432,-75.0448&amp;z=14.75z","Vía Bogotá D.C. - Manizales, Km 0.91 Fresno - Manizales, , La Florida, Fresno, Tolima")</f>
        <v>Vía Bogotá D.C. - Manizales, Km 0.91 Fresno - Manizales, , La Florida, Fresno, Tolima</v>
      </c>
      <c r="G467">
        <v>31</v>
      </c>
      <c r="H467">
        <v>138206</v>
      </c>
      <c r="I467">
        <v>-75.044799999999995</v>
      </c>
      <c r="J467">
        <v>5.1543200000000002</v>
      </c>
      <c r="K467" t="s">
        <v>41</v>
      </c>
      <c r="L467" s="1">
        <v>44614</v>
      </c>
      <c r="M467" s="2" t="s">
        <v>816</v>
      </c>
      <c r="N467" t="s">
        <v>20</v>
      </c>
      <c r="O467" t="s">
        <v>21</v>
      </c>
      <c r="P467" t="s">
        <v>22</v>
      </c>
    </row>
    <row r="468" spans="1:16" x14ac:dyDescent="0.25">
      <c r="A468" t="s">
        <v>16</v>
      </c>
      <c r="B468" t="s">
        <v>17</v>
      </c>
      <c r="C468" t="s">
        <v>18</v>
      </c>
      <c r="D468" s="1">
        <v>44614</v>
      </c>
      <c r="E468" s="2" t="s">
        <v>817</v>
      </c>
      <c r="F468" s="3" t="str">
        <f>HYPERLINK("https://maps.google.com/maps?q=5.15253,-75.0442&amp;ll=5.15253,-75.0442&amp;z=14.75z","Vía Bogotá D.C. - Manizales, Km 0.57 Fresno - Manizales, , , Fresno, Tolima")</f>
        <v>Vía Bogotá D.C. - Manizales, Km 0.57 Fresno - Manizales, , , Fresno, Tolima</v>
      </c>
      <c r="G468">
        <v>21</v>
      </c>
      <c r="H468">
        <v>138206</v>
      </c>
      <c r="I468">
        <v>-75.044200000000004</v>
      </c>
      <c r="J468">
        <v>5.1525299999999996</v>
      </c>
      <c r="K468" t="s">
        <v>33</v>
      </c>
      <c r="L468" s="1">
        <v>44614</v>
      </c>
      <c r="M468" s="2" t="s">
        <v>817</v>
      </c>
      <c r="N468" t="s">
        <v>20</v>
      </c>
      <c r="O468" t="s">
        <v>21</v>
      </c>
      <c r="P468" t="s">
        <v>22</v>
      </c>
    </row>
    <row r="469" spans="1:16" x14ac:dyDescent="0.25">
      <c r="A469" t="s">
        <v>16</v>
      </c>
      <c r="B469" t="s">
        <v>17</v>
      </c>
      <c r="C469" t="s">
        <v>18</v>
      </c>
      <c r="D469" s="1">
        <v>44614</v>
      </c>
      <c r="E469" s="2" t="s">
        <v>818</v>
      </c>
      <c r="F469" s="3" t="str">
        <f>HYPERLINK("https://maps.google.com/maps?q=5.15374,-75.04255&amp;ll=5.15374,-75.04255&amp;z=14.75z","Vía Bogotá D.C. - Manizales, Km 0.15 Fresno - Manizales, , La Florida, Fresno, Tolima")</f>
        <v>Vía Bogotá D.C. - Manizales, Km 0.15 Fresno - Manizales, , La Florida, Fresno, Tolima</v>
      </c>
      <c r="G469">
        <v>20</v>
      </c>
      <c r="H469">
        <v>138207</v>
      </c>
      <c r="I469">
        <v>-75.042550000000006</v>
      </c>
      <c r="J469">
        <v>5.15374</v>
      </c>
      <c r="K469" t="s">
        <v>31</v>
      </c>
      <c r="L469" s="1">
        <v>44614</v>
      </c>
      <c r="M469" s="2" t="s">
        <v>818</v>
      </c>
      <c r="N469" t="s">
        <v>20</v>
      </c>
      <c r="O469" t="s">
        <v>21</v>
      </c>
      <c r="P469" t="s">
        <v>22</v>
      </c>
    </row>
    <row r="470" spans="1:16" x14ac:dyDescent="0.25">
      <c r="A470" t="s">
        <v>16</v>
      </c>
      <c r="B470" t="s">
        <v>17</v>
      </c>
      <c r="C470" t="s">
        <v>18</v>
      </c>
      <c r="D470" s="1">
        <v>44614</v>
      </c>
      <c r="E470" s="2" t="s">
        <v>423</v>
      </c>
      <c r="F470" s="3" t="str">
        <f>HYPERLINK("https://maps.google.com/maps?q=5.15609,-75.04005&amp;ll=5.15609,-75.04005&amp;z=14.75z","Vía Honda - Manizales, , , Fresno, Tolima")</f>
        <v>Vía Honda - Manizales, , , Fresno, Tolima</v>
      </c>
      <c r="G470">
        <v>26</v>
      </c>
      <c r="H470">
        <v>138207</v>
      </c>
      <c r="I470">
        <v>-75.040049999999994</v>
      </c>
      <c r="J470">
        <v>5.1560899999999998</v>
      </c>
      <c r="K470" t="s">
        <v>24</v>
      </c>
      <c r="L470" s="1">
        <v>44614</v>
      </c>
      <c r="M470" s="2" t="s">
        <v>423</v>
      </c>
      <c r="N470" t="s">
        <v>20</v>
      </c>
      <c r="O470" t="s">
        <v>21</v>
      </c>
      <c r="P470" t="s">
        <v>22</v>
      </c>
    </row>
    <row r="471" spans="1:16" x14ac:dyDescent="0.25">
      <c r="A471" t="s">
        <v>16</v>
      </c>
      <c r="B471" t="s">
        <v>17</v>
      </c>
      <c r="C471" t="s">
        <v>18</v>
      </c>
      <c r="D471" s="1">
        <v>44614</v>
      </c>
      <c r="E471" s="2" t="s">
        <v>423</v>
      </c>
      <c r="F471" s="3" t="str">
        <f>HYPERLINK("https://maps.google.com/maps?q=5.15374,-75.04001&amp;ll=5.15374,-75.04001&amp;z=14.75z","Cra 2, 6, , , Fresno, Tolima")</f>
        <v>Cra 2, 6, , , Fresno, Tolima</v>
      </c>
      <c r="G471">
        <v>1</v>
      </c>
      <c r="H471">
        <v>138207</v>
      </c>
      <c r="I471">
        <v>-75.040009999999995</v>
      </c>
      <c r="J471">
        <v>5.15374</v>
      </c>
      <c r="K471" t="s">
        <v>33</v>
      </c>
      <c r="L471" s="1">
        <v>44614</v>
      </c>
      <c r="M471" s="2" t="s">
        <v>424</v>
      </c>
      <c r="N471" t="s">
        <v>20</v>
      </c>
      <c r="O471" t="s">
        <v>21</v>
      </c>
      <c r="P471" t="s">
        <v>22</v>
      </c>
    </row>
    <row r="472" spans="1:16" x14ac:dyDescent="0.25">
      <c r="A472" t="s">
        <v>16</v>
      </c>
      <c r="B472" t="s">
        <v>17</v>
      </c>
      <c r="C472" t="s">
        <v>18</v>
      </c>
      <c r="D472" s="1">
        <v>44614</v>
      </c>
      <c r="E472" s="2" t="s">
        <v>424</v>
      </c>
      <c r="F472" s="3" t="str">
        <f>HYPERLINK("https://maps.google.com/maps?q=5.15113,-75.03953&amp;ll=5.15113,-75.03953&amp;z=14.75z","Cra 3, 3, , , Fresno, Tolima")</f>
        <v>Cra 3, 3, , , Fresno, Tolima</v>
      </c>
      <c r="G472">
        <v>20</v>
      </c>
      <c r="H472">
        <v>138208</v>
      </c>
      <c r="I472">
        <v>-75.039529999999999</v>
      </c>
      <c r="J472">
        <v>5.1511300000000002</v>
      </c>
      <c r="K472" t="s">
        <v>31</v>
      </c>
      <c r="L472" s="1">
        <v>44614</v>
      </c>
      <c r="M472" s="2" t="s">
        <v>425</v>
      </c>
      <c r="N472" t="s">
        <v>20</v>
      </c>
      <c r="O472" t="s">
        <v>21</v>
      </c>
      <c r="P472" t="s">
        <v>22</v>
      </c>
    </row>
    <row r="473" spans="1:16" x14ac:dyDescent="0.25">
      <c r="A473" t="s">
        <v>16</v>
      </c>
      <c r="B473" t="s">
        <v>17</v>
      </c>
      <c r="C473" t="s">
        <v>18</v>
      </c>
      <c r="D473" s="1">
        <v>44614</v>
      </c>
      <c r="E473" s="2" t="s">
        <v>425</v>
      </c>
      <c r="F473" s="3" t="str">
        <f>HYPERLINK("https://maps.google.com/maps?q=5.15043,-75.03771&amp;ll=5.15043,-75.03771&amp;z=14.75z","Cra 5, 2, , , Fresno, Tolima")</f>
        <v>Cra 5, 2, , , Fresno, Tolima</v>
      </c>
      <c r="G473">
        <v>2</v>
      </c>
      <c r="H473">
        <v>138208</v>
      </c>
      <c r="I473">
        <v>-75.037710000000004</v>
      </c>
      <c r="J473">
        <v>5.1504300000000001</v>
      </c>
      <c r="K473" t="s">
        <v>24</v>
      </c>
      <c r="L473" s="1">
        <v>44614</v>
      </c>
      <c r="M473" s="2" t="s">
        <v>425</v>
      </c>
      <c r="N473" t="s">
        <v>20</v>
      </c>
      <c r="O473" t="s">
        <v>21</v>
      </c>
      <c r="P473" t="s">
        <v>22</v>
      </c>
    </row>
    <row r="474" spans="1:16" x14ac:dyDescent="0.25">
      <c r="A474" t="s">
        <v>16</v>
      </c>
      <c r="B474" t="s">
        <v>17</v>
      </c>
      <c r="C474" t="s">
        <v>18</v>
      </c>
      <c r="D474" s="1">
        <v>44614</v>
      </c>
      <c r="E474" s="2" t="s">
        <v>426</v>
      </c>
      <c r="F474" s="3" t="str">
        <f>HYPERLINK("https://maps.google.com/maps?q=5.15061,-75.03501&amp;ll=5.15061,-75.03501&amp;z=14.75z","Cra 9, 2, , , Fresno, Tolima")</f>
        <v>Cra 9, 2, , , Fresno, Tolima</v>
      </c>
      <c r="G474">
        <v>21</v>
      </c>
      <c r="H474">
        <v>138208</v>
      </c>
      <c r="I474">
        <v>-75.03501</v>
      </c>
      <c r="J474">
        <v>5.1506100000000004</v>
      </c>
      <c r="K474" t="s">
        <v>41</v>
      </c>
      <c r="L474" s="1">
        <v>44614</v>
      </c>
      <c r="M474" s="2" t="s">
        <v>426</v>
      </c>
      <c r="N474" t="s">
        <v>20</v>
      </c>
      <c r="O474" t="s">
        <v>21</v>
      </c>
      <c r="P474" t="s">
        <v>22</v>
      </c>
    </row>
    <row r="475" spans="1:16" x14ac:dyDescent="0.25">
      <c r="A475" t="s">
        <v>16</v>
      </c>
      <c r="B475" t="s">
        <v>17</v>
      </c>
      <c r="C475" t="s">
        <v>18</v>
      </c>
      <c r="D475" s="1">
        <v>44614</v>
      </c>
      <c r="E475" s="2" t="s">
        <v>427</v>
      </c>
      <c r="F475" s="3" t="str">
        <f>HYPERLINK("https://maps.google.com/maps?q=5.1541,-75.03473&amp;ll=5.1541,-75.03473&amp;z=14.75z","Cra 9, 6, , , Fresno, Tolima")</f>
        <v>Cra 9, 6, , , Fresno, Tolima</v>
      </c>
      <c r="G475">
        <v>25</v>
      </c>
      <c r="H475">
        <v>138209</v>
      </c>
      <c r="I475">
        <v>-75.034729999999996</v>
      </c>
      <c r="J475">
        <v>5.1540999999999997</v>
      </c>
      <c r="K475" t="s">
        <v>23</v>
      </c>
      <c r="L475" s="1">
        <v>44614</v>
      </c>
      <c r="M475" s="2" t="s">
        <v>428</v>
      </c>
      <c r="N475" t="s">
        <v>20</v>
      </c>
      <c r="O475" t="s">
        <v>21</v>
      </c>
      <c r="P475" t="s">
        <v>22</v>
      </c>
    </row>
    <row r="476" spans="1:16" x14ac:dyDescent="0.25">
      <c r="A476" t="s">
        <v>16</v>
      </c>
      <c r="B476" t="s">
        <v>17</v>
      </c>
      <c r="C476" t="s">
        <v>18</v>
      </c>
      <c r="D476" s="1">
        <v>44614</v>
      </c>
      <c r="E476" s="2" t="s">
        <v>428</v>
      </c>
      <c r="F476" s="3" t="str">
        <f>HYPERLINK("https://maps.google.com/maps?q=5.15608,-75.03333&amp;ll=5.15608,-75.03333&amp;z=14.75z","Cll 9, 11, , , Fresno, Tolima")</f>
        <v>Cll 9, 11, , , Fresno, Tolima</v>
      </c>
      <c r="G476">
        <v>26</v>
      </c>
      <c r="H476">
        <v>138209</v>
      </c>
      <c r="I476">
        <v>-75.033330000000007</v>
      </c>
      <c r="J476">
        <v>5.1560800000000002</v>
      </c>
      <c r="K476" t="s">
        <v>33</v>
      </c>
      <c r="L476" s="1">
        <v>44614</v>
      </c>
      <c r="M476" s="2" t="s">
        <v>428</v>
      </c>
      <c r="N476" t="s">
        <v>20</v>
      </c>
      <c r="O476" t="s">
        <v>21</v>
      </c>
      <c r="P476" t="s">
        <v>22</v>
      </c>
    </row>
    <row r="477" spans="1:16" x14ac:dyDescent="0.25">
      <c r="A477" t="s">
        <v>16</v>
      </c>
      <c r="B477" t="s">
        <v>17</v>
      </c>
      <c r="C477" t="s">
        <v>18</v>
      </c>
      <c r="D477" s="1">
        <v>44614</v>
      </c>
      <c r="E477" s="2" t="s">
        <v>314</v>
      </c>
      <c r="F477" s="3" t="str">
        <f>HYPERLINK("https://maps.google.com/maps?q=5.15604,-75.03157&amp;ll=5.15604,-75.03157&amp;z=14.75z","Vía Honda - Manizales, Km 22.91 Mariquita - Fresno, , , Fresno, Tolima")</f>
        <v>Vía Honda - Manizales, Km 22.91 Mariquita - Fresno, , , Fresno, Tolima</v>
      </c>
      <c r="G477">
        <v>25</v>
      </c>
      <c r="H477">
        <v>138209</v>
      </c>
      <c r="I477">
        <v>-75.031570000000002</v>
      </c>
      <c r="J477">
        <v>5.15604</v>
      </c>
      <c r="K477" t="s">
        <v>24</v>
      </c>
      <c r="L477" s="1">
        <v>44614</v>
      </c>
      <c r="M477" s="2" t="s">
        <v>429</v>
      </c>
      <c r="N477" t="s">
        <v>20</v>
      </c>
      <c r="O477" t="s">
        <v>21</v>
      </c>
      <c r="P477" t="s">
        <v>22</v>
      </c>
    </row>
    <row r="478" spans="1:16" x14ac:dyDescent="0.25">
      <c r="A478" t="s">
        <v>16</v>
      </c>
      <c r="B478" t="s">
        <v>17</v>
      </c>
      <c r="C478" t="s">
        <v>18</v>
      </c>
      <c r="D478" s="1">
        <v>44614</v>
      </c>
      <c r="E478" s="2" t="s">
        <v>314</v>
      </c>
      <c r="F478" s="3" t="str">
        <f>HYPERLINK("https://maps.google.com/maps?q=5.15604,-75.03157&amp;ll=5.15604,-75.03157&amp;z=14.75z","Vía Honda - Manizales, Km 22.91 Mariquita - Fresno, , , Fresno, Tolima")</f>
        <v>Vía Honda - Manizales, Km 22.91 Mariquita - Fresno, , , Fresno, Tolima</v>
      </c>
      <c r="G478">
        <v>25</v>
      </c>
      <c r="H478">
        <v>138209</v>
      </c>
      <c r="I478">
        <v>-75.031570000000002</v>
      </c>
      <c r="J478">
        <v>5.15604</v>
      </c>
      <c r="K478" t="s">
        <v>24</v>
      </c>
      <c r="L478" s="1">
        <v>44614</v>
      </c>
      <c r="M478" s="2" t="s">
        <v>429</v>
      </c>
      <c r="N478" t="s">
        <v>20</v>
      </c>
      <c r="O478" t="s">
        <v>21</v>
      </c>
      <c r="P478" t="s">
        <v>22</v>
      </c>
    </row>
    <row r="479" spans="1:16" x14ac:dyDescent="0.25">
      <c r="A479" t="s">
        <v>16</v>
      </c>
      <c r="B479" t="s">
        <v>17</v>
      </c>
      <c r="C479" t="s">
        <v>18</v>
      </c>
      <c r="D479" s="1">
        <v>44614</v>
      </c>
      <c r="E479" s="2" t="s">
        <v>429</v>
      </c>
      <c r="F479" s="3" t="str">
        <f>HYPERLINK("https://maps.google.com/maps?q=5.15719,-75.0288&amp;ll=5.15719,-75.0288&amp;z=14.75z","Vía Honda - Manizales, Km 22.46 Mariquita - Fresno, , Mireya, Fresno, Tolima")</f>
        <v>Vía Honda - Manizales, Km 22.46 Mariquita - Fresno, , Mireya, Fresno, Tolima</v>
      </c>
      <c r="G479">
        <v>22</v>
      </c>
      <c r="H479">
        <v>138210</v>
      </c>
      <c r="I479">
        <v>-75.028800000000004</v>
      </c>
      <c r="J479">
        <v>5.1571899999999999</v>
      </c>
      <c r="K479" t="s">
        <v>23</v>
      </c>
      <c r="L479" s="1">
        <v>44614</v>
      </c>
      <c r="M479" s="2" t="s">
        <v>429</v>
      </c>
      <c r="N479" t="s">
        <v>20</v>
      </c>
      <c r="O479" t="s">
        <v>21</v>
      </c>
      <c r="P479" t="s">
        <v>22</v>
      </c>
    </row>
    <row r="480" spans="1:16" x14ac:dyDescent="0.25">
      <c r="A480" t="s">
        <v>16</v>
      </c>
      <c r="B480" t="s">
        <v>17</v>
      </c>
      <c r="C480" t="s">
        <v>18</v>
      </c>
      <c r="D480" s="1">
        <v>44614</v>
      </c>
      <c r="E480" s="2" t="s">
        <v>315</v>
      </c>
      <c r="F480" s="3" t="str">
        <f>HYPERLINK("https://maps.google.com/maps?q=5.15908,-75.02571&amp;ll=5.15908,-75.02571&amp;z=14.75z","Vía Honda - Manizales, Km 21.97 Mariquita - Fresno, , Mireya, Fresno, Tolima")</f>
        <v>Vía Honda - Manizales, Km 21.97 Mariquita - Fresno, , Mireya, Fresno, Tolima</v>
      </c>
      <c r="G480">
        <v>25</v>
      </c>
      <c r="H480">
        <v>138210</v>
      </c>
      <c r="I480">
        <v>-75.025710000000004</v>
      </c>
      <c r="J480">
        <v>5.1590800000000003</v>
      </c>
      <c r="K480" t="s">
        <v>23</v>
      </c>
      <c r="L480" s="1">
        <v>44614</v>
      </c>
      <c r="M480" s="2" t="s">
        <v>315</v>
      </c>
      <c r="N480" t="s">
        <v>20</v>
      </c>
      <c r="O480" t="s">
        <v>21</v>
      </c>
      <c r="P480" t="s">
        <v>22</v>
      </c>
    </row>
    <row r="481" spans="1:16" x14ac:dyDescent="0.25">
      <c r="A481" t="s">
        <v>16</v>
      </c>
      <c r="B481" t="s">
        <v>17</v>
      </c>
      <c r="C481" t="s">
        <v>18</v>
      </c>
      <c r="D481" s="1">
        <v>44614</v>
      </c>
      <c r="E481" s="2" t="s">
        <v>430</v>
      </c>
      <c r="F481" s="3" t="str">
        <f>HYPERLINK("https://maps.google.com/maps?q=5.16201,-75.02382&amp;ll=5.16201,-75.02382&amp;z=14.75z","Vía Honda - Manizales, Km 21.47 Mariquita - Fresno, , Mireya, Fresno, Tolima")</f>
        <v>Vía Honda - Manizales, Km 21.47 Mariquita - Fresno, , Mireya, Fresno, Tolima</v>
      </c>
      <c r="G481">
        <v>26</v>
      </c>
      <c r="H481">
        <v>138210</v>
      </c>
      <c r="I481">
        <v>-75.023820000000001</v>
      </c>
      <c r="J481">
        <v>5.1620100000000004</v>
      </c>
      <c r="K481" t="s">
        <v>24</v>
      </c>
      <c r="L481" s="1">
        <v>44614</v>
      </c>
      <c r="M481" s="2" t="s">
        <v>431</v>
      </c>
      <c r="N481" t="s">
        <v>20</v>
      </c>
      <c r="O481" t="s">
        <v>21</v>
      </c>
      <c r="P481" t="s">
        <v>22</v>
      </c>
    </row>
    <row r="482" spans="1:16" x14ac:dyDescent="0.25">
      <c r="A482" t="s">
        <v>16</v>
      </c>
      <c r="B482" t="s">
        <v>17</v>
      </c>
      <c r="C482" t="s">
        <v>27</v>
      </c>
      <c r="D482" s="1">
        <v>44614</v>
      </c>
      <c r="E482" s="2" t="s">
        <v>430</v>
      </c>
      <c r="F482" s="3" t="str">
        <f>HYPERLINK("https://maps.google.com/maps?q=5.16369,-75.02326&amp;ll=5.16369,-75.02326&amp;z=14.75z","Vía Honda - Manizales, Km 21.22 Mariquita - Fresno, , Mireya, Fresno, Tolima")</f>
        <v>Vía Honda - Manizales, Km 21.22 Mariquita - Fresno, , Mireya, Fresno, Tolima</v>
      </c>
      <c r="G482">
        <v>31</v>
      </c>
      <c r="H482">
        <v>138211</v>
      </c>
      <c r="I482">
        <v>-75.023259999999993</v>
      </c>
      <c r="J482">
        <v>5.1636899999999999</v>
      </c>
      <c r="K482" t="s">
        <v>24</v>
      </c>
      <c r="L482" s="1">
        <v>44614</v>
      </c>
      <c r="M482" s="2" t="s">
        <v>431</v>
      </c>
      <c r="N482" t="s">
        <v>20</v>
      </c>
      <c r="O482" t="s">
        <v>21</v>
      </c>
      <c r="P482" t="s">
        <v>22</v>
      </c>
    </row>
    <row r="483" spans="1:16" x14ac:dyDescent="0.25">
      <c r="A483" t="s">
        <v>16</v>
      </c>
      <c r="B483" t="s">
        <v>17</v>
      </c>
      <c r="C483" t="s">
        <v>18</v>
      </c>
      <c r="D483" s="1">
        <v>44614</v>
      </c>
      <c r="E483" s="2" t="s">
        <v>431</v>
      </c>
      <c r="F483" s="3" t="str">
        <f>HYPERLINK("https://maps.google.com/maps?q=5.16503,-75.02304&amp;ll=5.16503,-75.02304&amp;z=14.75z","Vía Honda - Manizales, Km 21.04 Mariquita - Fresno, , Mireya, Fresno, Tolima")</f>
        <v>Vía Honda - Manizales, Km 21.04 Mariquita - Fresno, , Mireya, Fresno, Tolima</v>
      </c>
      <c r="G483">
        <v>22</v>
      </c>
      <c r="H483">
        <v>138211</v>
      </c>
      <c r="I483">
        <v>-75.023039999999995</v>
      </c>
      <c r="J483">
        <v>5.1650299999999998</v>
      </c>
      <c r="K483" t="s">
        <v>23</v>
      </c>
      <c r="L483" s="1">
        <v>44614</v>
      </c>
      <c r="M483" s="2" t="s">
        <v>431</v>
      </c>
      <c r="N483" t="s">
        <v>20</v>
      </c>
      <c r="O483" t="s">
        <v>21</v>
      </c>
      <c r="P483" t="s">
        <v>22</v>
      </c>
    </row>
    <row r="484" spans="1:16" x14ac:dyDescent="0.25">
      <c r="A484" t="s">
        <v>16</v>
      </c>
      <c r="B484" t="s">
        <v>17</v>
      </c>
      <c r="C484" t="s">
        <v>18</v>
      </c>
      <c r="D484" s="1">
        <v>44614</v>
      </c>
      <c r="E484" s="2" t="s">
        <v>432</v>
      </c>
      <c r="F484" s="3" t="str">
        <f>HYPERLINK("https://maps.google.com/maps?q=5.16721,-75.0192&amp;ll=5.16721,-75.0192&amp;z=14.75z","Vía Honda - Manizales, Km 20.51 Mariquita - Fresno, , Mireya, Fresno, Tolima")</f>
        <v>Vía Honda - Manizales, Km 20.51 Mariquita - Fresno, , Mireya, Fresno, Tolima</v>
      </c>
      <c r="G484">
        <v>32</v>
      </c>
      <c r="H484">
        <v>138211</v>
      </c>
      <c r="I484">
        <v>-75.019199999999998</v>
      </c>
      <c r="J484">
        <v>5.1672099999999999</v>
      </c>
      <c r="K484" t="s">
        <v>41</v>
      </c>
      <c r="L484" s="1">
        <v>44614</v>
      </c>
      <c r="M484" s="2" t="s">
        <v>432</v>
      </c>
      <c r="N484" t="s">
        <v>20</v>
      </c>
      <c r="O484" t="s">
        <v>21</v>
      </c>
      <c r="P484" t="s">
        <v>22</v>
      </c>
    </row>
    <row r="485" spans="1:16" x14ac:dyDescent="0.25">
      <c r="A485" t="s">
        <v>16</v>
      </c>
      <c r="B485" t="s">
        <v>17</v>
      </c>
      <c r="C485" t="s">
        <v>18</v>
      </c>
      <c r="D485" s="1">
        <v>44614</v>
      </c>
      <c r="E485" s="2" t="s">
        <v>433</v>
      </c>
      <c r="F485" s="3" t="str">
        <f>HYPERLINK("https://maps.google.com/maps?q=5.16832,-75.01471&amp;ll=5.16832,-75.01471&amp;z=14.75z","Vía Honda - Manizales, Km 19.95 Mariquita - Fresno, , Mireya, Fresno, Tolima")</f>
        <v>Vía Honda - Manizales, Km 19.95 Mariquita - Fresno, , Mireya, Fresno, Tolima</v>
      </c>
      <c r="G485">
        <v>35</v>
      </c>
      <c r="H485">
        <v>138212</v>
      </c>
      <c r="I485">
        <v>-75.014709999999994</v>
      </c>
      <c r="J485">
        <v>5.1683199999999996</v>
      </c>
      <c r="K485" t="s">
        <v>41</v>
      </c>
      <c r="L485" s="1">
        <v>44614</v>
      </c>
      <c r="M485" s="2" t="s">
        <v>433</v>
      </c>
      <c r="N485" t="s">
        <v>20</v>
      </c>
      <c r="O485" t="s">
        <v>21</v>
      </c>
      <c r="P485" t="s">
        <v>22</v>
      </c>
    </row>
    <row r="486" spans="1:16" x14ac:dyDescent="0.25">
      <c r="A486" t="s">
        <v>16</v>
      </c>
      <c r="B486" t="s">
        <v>17</v>
      </c>
      <c r="C486" t="s">
        <v>18</v>
      </c>
      <c r="D486" s="1">
        <v>44614</v>
      </c>
      <c r="E486" s="2" t="s">
        <v>434</v>
      </c>
      <c r="F486" s="3" t="str">
        <f>HYPERLINK("https://maps.google.com/maps?q=5.17005,-75.01204&amp;ll=5.17005,-75.01204&amp;z=14.75z","Vía Honda - Manizales, Km 19.52 Mariquita - Fresno, , Mireya, Fresno, Tolima")</f>
        <v>Vía Honda - Manizales, Km 19.52 Mariquita - Fresno, , Mireya, Fresno, Tolima</v>
      </c>
      <c r="G486">
        <v>26</v>
      </c>
      <c r="H486">
        <v>138212</v>
      </c>
      <c r="I486">
        <v>-75.012039999999999</v>
      </c>
      <c r="J486">
        <v>5.1700499999999998</v>
      </c>
      <c r="K486" t="s">
        <v>33</v>
      </c>
      <c r="L486" s="1">
        <v>44614</v>
      </c>
      <c r="M486" s="2" t="s">
        <v>434</v>
      </c>
      <c r="N486" t="s">
        <v>20</v>
      </c>
      <c r="O486" t="s">
        <v>21</v>
      </c>
      <c r="P486" t="s">
        <v>22</v>
      </c>
    </row>
    <row r="487" spans="1:16" x14ac:dyDescent="0.25">
      <c r="A487" t="s">
        <v>16</v>
      </c>
      <c r="B487" t="s">
        <v>17</v>
      </c>
      <c r="C487" t="s">
        <v>18</v>
      </c>
      <c r="D487" s="1">
        <v>44614</v>
      </c>
      <c r="E487" s="2" t="s">
        <v>435</v>
      </c>
      <c r="F487" s="3" t="str">
        <f>HYPERLINK("https://maps.google.com/maps?q=5.17165,-75.00495&amp;ll=5.17165,-75.00495&amp;z=14.75z","Vía Honda - Manizales, Km 18.55 Mariquita - Fresno, , El Espejo, Fresno, Tolima")</f>
        <v>Vía Honda - Manizales, Km 18.55 Mariquita - Fresno, , El Espejo, Fresno, Tolima</v>
      </c>
      <c r="G487">
        <v>28</v>
      </c>
      <c r="H487">
        <v>138213</v>
      </c>
      <c r="I487">
        <v>-75.004949999999994</v>
      </c>
      <c r="J487">
        <v>5.1716499999999996</v>
      </c>
      <c r="K487" t="s">
        <v>23</v>
      </c>
      <c r="L487" s="1">
        <v>44614</v>
      </c>
      <c r="M487" s="2" t="s">
        <v>436</v>
      </c>
      <c r="N487" t="s">
        <v>20</v>
      </c>
      <c r="O487" t="s">
        <v>21</v>
      </c>
      <c r="P487" t="s">
        <v>22</v>
      </c>
    </row>
    <row r="488" spans="1:16" x14ac:dyDescent="0.25">
      <c r="A488" t="s">
        <v>16</v>
      </c>
      <c r="B488" t="s">
        <v>17</v>
      </c>
      <c r="C488" t="s">
        <v>27</v>
      </c>
      <c r="D488" s="1">
        <v>44614</v>
      </c>
      <c r="E488" s="2" t="s">
        <v>436</v>
      </c>
      <c r="F488" s="3" t="str">
        <f>HYPERLINK("https://maps.google.com/maps?q=5.17346,-75.00262&amp;ll=5.17346,-75.00262&amp;z=14.75z","Vía Honda - Manizales, Km 18.12 Mariquita - Fresno, , El Espejo, Fresno, Tolima")</f>
        <v>Vía Honda - Manizales, Km 18.12 Mariquita - Fresno, , El Espejo, Fresno, Tolima</v>
      </c>
      <c r="G488">
        <v>29</v>
      </c>
      <c r="H488">
        <v>138214</v>
      </c>
      <c r="I488">
        <v>-75.002619999999993</v>
      </c>
      <c r="J488">
        <v>5.1734600000000004</v>
      </c>
      <c r="K488" t="s">
        <v>23</v>
      </c>
      <c r="L488" s="1">
        <v>44614</v>
      </c>
      <c r="M488" s="2" t="s">
        <v>436</v>
      </c>
      <c r="N488" t="s">
        <v>20</v>
      </c>
      <c r="O488" t="s">
        <v>21</v>
      </c>
      <c r="P488" t="s">
        <v>22</v>
      </c>
    </row>
    <row r="489" spans="1:16" x14ac:dyDescent="0.25">
      <c r="A489" t="s">
        <v>16</v>
      </c>
      <c r="B489" t="s">
        <v>17</v>
      </c>
      <c r="C489" t="s">
        <v>18</v>
      </c>
      <c r="D489" s="1">
        <v>44614</v>
      </c>
      <c r="E489" s="2" t="s">
        <v>436</v>
      </c>
      <c r="F489" s="3" t="str">
        <f>HYPERLINK("https://maps.google.com/maps?q=5.17408,-75.00243&amp;ll=5.17408,-75.00243&amp;z=14.75z","Vía Honda - Manizales, Km 18.07 Mariquita - Fresno, , El Espejo, Fresno, Tolima")</f>
        <v>Vía Honda - Manizales, Km 18.07 Mariquita - Fresno, , El Espejo, Fresno, Tolima</v>
      </c>
      <c r="G489">
        <v>21</v>
      </c>
      <c r="H489">
        <v>138214</v>
      </c>
      <c r="I489">
        <v>-75.002430000000004</v>
      </c>
      <c r="J489">
        <v>5.17408</v>
      </c>
      <c r="K489" t="s">
        <v>24</v>
      </c>
      <c r="L489" s="1">
        <v>44614</v>
      </c>
      <c r="M489" s="2" t="s">
        <v>437</v>
      </c>
      <c r="N489" t="s">
        <v>20</v>
      </c>
      <c r="O489" t="s">
        <v>21</v>
      </c>
      <c r="P489" t="s">
        <v>22</v>
      </c>
    </row>
    <row r="490" spans="1:16" x14ac:dyDescent="0.25">
      <c r="A490" t="s">
        <v>16</v>
      </c>
      <c r="B490" t="s">
        <v>17</v>
      </c>
      <c r="C490" t="s">
        <v>18</v>
      </c>
      <c r="D490" s="1">
        <v>44614</v>
      </c>
      <c r="E490" s="2" t="s">
        <v>437</v>
      </c>
      <c r="F490" s="3" t="str">
        <f>HYPERLINK("https://maps.google.com/maps?q=5.17515,-74.99915&amp;ll=5.17515,-74.99915&amp;z=14.75z","Vía Honda - Manizales, Km 17.57 Mariquita - Fresno, , El Espejo, Fresno, Tolima")</f>
        <v>Vía Honda - Manizales, Km 17.57 Mariquita - Fresno, , El Espejo, Fresno, Tolima</v>
      </c>
      <c r="G490">
        <v>32</v>
      </c>
      <c r="H490">
        <v>138214</v>
      </c>
      <c r="I490">
        <v>-74.99915</v>
      </c>
      <c r="J490">
        <v>5.1751500000000004</v>
      </c>
      <c r="K490" t="s">
        <v>24</v>
      </c>
      <c r="L490" s="1">
        <v>44614</v>
      </c>
      <c r="M490" s="2" t="s">
        <v>438</v>
      </c>
      <c r="N490" t="s">
        <v>20</v>
      </c>
      <c r="O490" t="s">
        <v>21</v>
      </c>
      <c r="P490" t="s">
        <v>22</v>
      </c>
    </row>
    <row r="491" spans="1:16" x14ac:dyDescent="0.25">
      <c r="A491" t="s">
        <v>16</v>
      </c>
      <c r="B491" t="s">
        <v>17</v>
      </c>
      <c r="C491" t="s">
        <v>18</v>
      </c>
      <c r="D491" s="1">
        <v>44614</v>
      </c>
      <c r="E491" s="2" t="s">
        <v>438</v>
      </c>
      <c r="F491" s="3" t="str">
        <f>HYPERLINK("https://maps.google.com/maps?q=5.17685,-74.99587&amp;ll=5.17685,-74.99587&amp;z=14.75z","Vía Honda - Manizales, Km 17.09 Mariquita - Fresno, , San Ignacio, Fresno, Tolima")</f>
        <v>Vía Honda - Manizales, Km 17.09 Mariquita - Fresno, , San Ignacio, Fresno, Tolima</v>
      </c>
      <c r="G491">
        <v>25</v>
      </c>
      <c r="H491">
        <v>138215</v>
      </c>
      <c r="I491">
        <v>-74.995869999999996</v>
      </c>
      <c r="J491">
        <v>5.17685</v>
      </c>
      <c r="K491" t="s">
        <v>41</v>
      </c>
      <c r="L491" s="1">
        <v>44614</v>
      </c>
      <c r="M491" s="2" t="s">
        <v>438</v>
      </c>
      <c r="N491" t="s">
        <v>20</v>
      </c>
      <c r="O491" t="s">
        <v>21</v>
      </c>
      <c r="P491" t="s">
        <v>22</v>
      </c>
    </row>
    <row r="492" spans="1:16" x14ac:dyDescent="0.25">
      <c r="A492" t="s">
        <v>16</v>
      </c>
      <c r="B492" t="s">
        <v>17</v>
      </c>
      <c r="C492" t="s">
        <v>18</v>
      </c>
      <c r="D492" s="1">
        <v>44614</v>
      </c>
      <c r="E492" s="2" t="s">
        <v>439</v>
      </c>
      <c r="F492" s="3" t="str">
        <f>HYPERLINK("https://maps.google.com/maps?q=5.17728,-74.99292&amp;ll=5.17728,-74.99292&amp;z=14.75z","Vía Honda - Manizales, Km 16.67 Mariquita - Fresno, , Palenque, Fresno, Tolima")</f>
        <v>Vía Honda - Manizales, Km 16.67 Mariquita - Fresno, , Palenque, Fresno, Tolima</v>
      </c>
      <c r="G492">
        <v>13</v>
      </c>
      <c r="H492">
        <v>138215</v>
      </c>
      <c r="I492">
        <v>-74.992919999999998</v>
      </c>
      <c r="J492">
        <v>5.1772799999999997</v>
      </c>
      <c r="K492" t="s">
        <v>33</v>
      </c>
      <c r="L492" s="1">
        <v>44614</v>
      </c>
      <c r="M492" s="2" t="s">
        <v>440</v>
      </c>
      <c r="N492" t="s">
        <v>20</v>
      </c>
      <c r="O492" t="s">
        <v>21</v>
      </c>
      <c r="P492" t="s">
        <v>22</v>
      </c>
    </row>
    <row r="493" spans="1:16" x14ac:dyDescent="0.25">
      <c r="A493" t="s">
        <v>16</v>
      </c>
      <c r="B493" t="s">
        <v>17</v>
      </c>
      <c r="C493" t="s">
        <v>18</v>
      </c>
      <c r="D493" s="1">
        <v>44614</v>
      </c>
      <c r="E493" s="2" t="s">
        <v>439</v>
      </c>
      <c r="F493" s="3" t="str">
        <f>HYPERLINK("https://maps.google.com/maps?q=5.17728,-74.99292&amp;ll=5.17728,-74.99292&amp;z=14.75z","Vía Honda - Manizales, Km 16.67 Mariquita - Fresno, , Palenque, Fresno, Tolima")</f>
        <v>Vía Honda - Manizales, Km 16.67 Mariquita - Fresno, , Palenque, Fresno, Tolima</v>
      </c>
      <c r="G493">
        <v>13</v>
      </c>
      <c r="H493">
        <v>138215</v>
      </c>
      <c r="I493">
        <v>-74.992919999999998</v>
      </c>
      <c r="J493">
        <v>5.1772799999999997</v>
      </c>
      <c r="K493" t="s">
        <v>33</v>
      </c>
      <c r="L493" s="1">
        <v>44614</v>
      </c>
      <c r="M493" s="2" t="s">
        <v>439</v>
      </c>
      <c r="N493" t="s">
        <v>20</v>
      </c>
      <c r="O493" t="s">
        <v>21</v>
      </c>
      <c r="P493" t="s">
        <v>22</v>
      </c>
    </row>
    <row r="494" spans="1:16" x14ac:dyDescent="0.25">
      <c r="A494" t="s">
        <v>16</v>
      </c>
      <c r="B494" t="s">
        <v>17</v>
      </c>
      <c r="C494" t="s">
        <v>18</v>
      </c>
      <c r="D494" s="1">
        <v>44614</v>
      </c>
      <c r="E494" s="2" t="s">
        <v>441</v>
      </c>
      <c r="F494" s="3" t="str">
        <f>HYPERLINK("https://maps.google.com/maps?q=5.1777,-74.98759&amp;ll=5.1777,-74.98759&amp;z=14.75z","Vía Honda - Manizales, Km 15.92 Mariquita - Fresno, , Palenque, Fresno, Tolima")</f>
        <v>Vía Honda - Manizales, Km 15.92 Mariquita - Fresno, , Palenque, Fresno, Tolima</v>
      </c>
      <c r="G494">
        <v>25</v>
      </c>
      <c r="H494">
        <v>138216</v>
      </c>
      <c r="I494">
        <v>-74.987589999999997</v>
      </c>
      <c r="J494">
        <v>5.1776999999999997</v>
      </c>
      <c r="K494" t="s">
        <v>41</v>
      </c>
      <c r="L494" s="1">
        <v>44614</v>
      </c>
      <c r="M494" s="2" t="s">
        <v>441</v>
      </c>
      <c r="N494" t="s">
        <v>20</v>
      </c>
      <c r="O494" t="s">
        <v>21</v>
      </c>
      <c r="P494" t="s">
        <v>22</v>
      </c>
    </row>
    <row r="495" spans="1:16" x14ac:dyDescent="0.25">
      <c r="A495" t="s">
        <v>16</v>
      </c>
      <c r="B495" t="s">
        <v>17</v>
      </c>
      <c r="C495" t="s">
        <v>18</v>
      </c>
      <c r="D495" s="1">
        <v>44614</v>
      </c>
      <c r="E495" s="2" t="s">
        <v>442</v>
      </c>
      <c r="F495" s="3" t="str">
        <f>HYPERLINK("https://maps.google.com/maps?q=5.17882,-74.98567&amp;ll=5.17882,-74.98567&amp;z=14.75z","Vía Honda - Manizales, Km 15.5 Mariquita - Fresno, , Palenque, Fresno, Tolima")</f>
        <v>Vía Honda - Manizales, Km 15.5 Mariquita - Fresno, , Palenque, Fresno, Tolima</v>
      </c>
      <c r="G495">
        <v>33</v>
      </c>
      <c r="H495">
        <v>138216</v>
      </c>
      <c r="I495">
        <v>-74.985669999999999</v>
      </c>
      <c r="J495">
        <v>5.17882</v>
      </c>
      <c r="K495" t="s">
        <v>33</v>
      </c>
      <c r="L495" s="1">
        <v>44614</v>
      </c>
      <c r="M495" s="2" t="s">
        <v>442</v>
      </c>
      <c r="N495" t="s">
        <v>20</v>
      </c>
      <c r="O495" t="s">
        <v>21</v>
      </c>
      <c r="P495" t="s">
        <v>22</v>
      </c>
    </row>
    <row r="496" spans="1:16" x14ac:dyDescent="0.25">
      <c r="A496" t="s">
        <v>16</v>
      </c>
      <c r="B496" t="s">
        <v>17</v>
      </c>
      <c r="C496" t="s">
        <v>18</v>
      </c>
      <c r="D496" s="1">
        <v>44614</v>
      </c>
      <c r="E496" s="2" t="s">
        <v>443</v>
      </c>
      <c r="F496" s="3" t="str">
        <f>HYPERLINK("https://maps.google.com/maps?q=5.17758,-74.98205&amp;ll=5.17758,-74.98205&amp;z=14.75z","Vía Honda - Manizales, Km 15.02 Mariquita - Fresno, , Palenque, Fresno, Tolima")</f>
        <v>Vía Honda - Manizales, Km 15.02 Mariquita - Fresno, , Palenque, Fresno, Tolima</v>
      </c>
      <c r="G496">
        <v>24</v>
      </c>
      <c r="H496">
        <v>138216</v>
      </c>
      <c r="I496">
        <v>-74.982050000000001</v>
      </c>
      <c r="J496">
        <v>5.1775799999999998</v>
      </c>
      <c r="K496" t="s">
        <v>33</v>
      </c>
      <c r="L496" s="1">
        <v>44614</v>
      </c>
      <c r="M496" s="2" t="s">
        <v>443</v>
      </c>
      <c r="N496" t="s">
        <v>20</v>
      </c>
      <c r="O496" t="s">
        <v>21</v>
      </c>
      <c r="P496" t="s">
        <v>22</v>
      </c>
    </row>
    <row r="497" spans="1:16" x14ac:dyDescent="0.25">
      <c r="A497" t="s">
        <v>16</v>
      </c>
      <c r="B497" t="s">
        <v>17</v>
      </c>
      <c r="C497" t="s">
        <v>18</v>
      </c>
      <c r="D497" s="1">
        <v>44614</v>
      </c>
      <c r="E497" s="2" t="s">
        <v>290</v>
      </c>
      <c r="F497" s="3" t="str">
        <f>HYPERLINK("https://maps.google.com/maps?q=5.17783,-74.97883&amp;ll=5.17783,-74.97883&amp;z=14.75z","Vía Honda - Manizales, Km 14.47 Mariquita - Fresno, , Palenque, Fresno, Tolima")</f>
        <v>Vía Honda - Manizales, Km 14.47 Mariquita - Fresno, , Palenque, Fresno, Tolima</v>
      </c>
      <c r="G497">
        <v>31</v>
      </c>
      <c r="H497">
        <v>138217</v>
      </c>
      <c r="I497">
        <v>-74.978830000000002</v>
      </c>
      <c r="J497">
        <v>5.1778300000000002</v>
      </c>
      <c r="K497" t="s">
        <v>23</v>
      </c>
      <c r="L497" s="1">
        <v>44614</v>
      </c>
      <c r="M497" s="2" t="s">
        <v>444</v>
      </c>
      <c r="N497" t="s">
        <v>20</v>
      </c>
      <c r="O497" t="s">
        <v>21</v>
      </c>
      <c r="P497" t="s">
        <v>22</v>
      </c>
    </row>
    <row r="498" spans="1:16" x14ac:dyDescent="0.25">
      <c r="A498" t="s">
        <v>16</v>
      </c>
      <c r="B498" t="s">
        <v>17</v>
      </c>
      <c r="C498" t="s">
        <v>18</v>
      </c>
      <c r="D498" s="1">
        <v>44614</v>
      </c>
      <c r="E498" s="2" t="s">
        <v>444</v>
      </c>
      <c r="F498" s="3" t="str">
        <f>HYPERLINK("https://maps.google.com/maps?q=5.17999,-74.97693&amp;ll=5.17999,-74.97693&amp;z=14.75z","Vía Honda - Manizales, Km 14.1 Mariquita - Fresno, , Palenque, Fresno, Tolima")</f>
        <v>Vía Honda - Manizales, Km 14.1 Mariquita - Fresno, , Palenque, Fresno, Tolima</v>
      </c>
      <c r="G498">
        <v>21</v>
      </c>
      <c r="H498">
        <v>138217</v>
      </c>
      <c r="I498">
        <v>-74.976929999999996</v>
      </c>
      <c r="J498">
        <v>5.1799900000000001</v>
      </c>
      <c r="K498" t="s">
        <v>41</v>
      </c>
      <c r="L498" s="1">
        <v>44614</v>
      </c>
      <c r="M498" s="2" t="s">
        <v>444</v>
      </c>
      <c r="N498" t="s">
        <v>20</v>
      </c>
      <c r="O498" t="s">
        <v>21</v>
      </c>
      <c r="P498" t="s">
        <v>22</v>
      </c>
    </row>
    <row r="499" spans="1:16" x14ac:dyDescent="0.25">
      <c r="A499" t="s">
        <v>16</v>
      </c>
      <c r="B499" t="s">
        <v>17</v>
      </c>
      <c r="C499" t="s">
        <v>18</v>
      </c>
      <c r="D499" s="1">
        <v>44614</v>
      </c>
      <c r="E499" s="2" t="s">
        <v>445</v>
      </c>
      <c r="F499" s="3" t="str">
        <f>HYPERLINK("https://maps.google.com/maps?q=5.18149,-74.97389&amp;ll=5.18149,-74.97389&amp;z=14.75z","Vía Honda - Manizales, Km 13.71 Mariquita - Fresno, , Palenque, Mariquita, Tolima")</f>
        <v>Vía Honda - Manizales, Km 13.71 Mariquita - Fresno, , Palenque, Mariquita, Tolima</v>
      </c>
      <c r="G499">
        <v>22</v>
      </c>
      <c r="H499">
        <v>138218</v>
      </c>
      <c r="I499">
        <v>-74.973889999999997</v>
      </c>
      <c r="J499">
        <v>5.1814900000000002</v>
      </c>
      <c r="K499" t="s">
        <v>24</v>
      </c>
      <c r="L499" s="1">
        <v>44614</v>
      </c>
      <c r="M499" s="2" t="s">
        <v>445</v>
      </c>
      <c r="N499" t="s">
        <v>20</v>
      </c>
      <c r="O499" t="s">
        <v>21</v>
      </c>
      <c r="P499" t="s">
        <v>22</v>
      </c>
    </row>
    <row r="500" spans="1:16" x14ac:dyDescent="0.25">
      <c r="A500" t="s">
        <v>16</v>
      </c>
      <c r="B500" t="s">
        <v>17</v>
      </c>
      <c r="C500" t="s">
        <v>18</v>
      </c>
      <c r="D500" s="1">
        <v>44614</v>
      </c>
      <c r="E500" s="2" t="s">
        <v>445</v>
      </c>
      <c r="F500" s="3" t="str">
        <f>HYPERLINK("https://maps.google.com/maps?q=5.18149,-74.97389&amp;ll=5.18149,-74.97389&amp;z=14.75z","Vía Honda - Manizales, Km 13.71 Mariquita - Fresno, , Palenque, Mariquita, Tolima")</f>
        <v>Vía Honda - Manizales, Km 13.71 Mariquita - Fresno, , Palenque, Mariquita, Tolima</v>
      </c>
      <c r="G500">
        <v>22</v>
      </c>
      <c r="H500">
        <v>138218</v>
      </c>
      <c r="I500">
        <v>-74.973889999999997</v>
      </c>
      <c r="J500">
        <v>5.1814900000000002</v>
      </c>
      <c r="K500" t="s">
        <v>24</v>
      </c>
      <c r="L500" s="1">
        <v>44614</v>
      </c>
      <c r="M500" s="2" t="s">
        <v>446</v>
      </c>
      <c r="N500" t="s">
        <v>20</v>
      </c>
      <c r="O500" t="s">
        <v>21</v>
      </c>
      <c r="P500" t="s">
        <v>22</v>
      </c>
    </row>
    <row r="501" spans="1:16" x14ac:dyDescent="0.25">
      <c r="A501" t="s">
        <v>16</v>
      </c>
      <c r="B501" t="s">
        <v>17</v>
      </c>
      <c r="C501" t="s">
        <v>18</v>
      </c>
      <c r="D501" s="1">
        <v>44614</v>
      </c>
      <c r="E501" s="2" t="s">
        <v>446</v>
      </c>
      <c r="F501" s="3" t="str">
        <f>HYPERLINK("https://maps.google.com/maps?q=5.18115,-74.97136&amp;ll=5.18115,-74.97136&amp;z=14.75z","Vía Honda - Manizales, Km 13.28 Mariquita - Fresno, , Fatima, Mariquita, Tolima")</f>
        <v>Vía Honda - Manizales, Km 13.28 Mariquita - Fresno, , Fatima, Mariquita, Tolima</v>
      </c>
      <c r="G501">
        <v>32</v>
      </c>
      <c r="H501">
        <v>138218</v>
      </c>
      <c r="I501">
        <v>-74.971360000000004</v>
      </c>
      <c r="J501">
        <v>5.1811499999999997</v>
      </c>
      <c r="K501" t="s">
        <v>33</v>
      </c>
      <c r="L501" s="1">
        <v>44614</v>
      </c>
      <c r="M501" s="2" t="s">
        <v>446</v>
      </c>
      <c r="N501" t="s">
        <v>20</v>
      </c>
      <c r="O501" t="s">
        <v>21</v>
      </c>
      <c r="P501" t="s">
        <v>22</v>
      </c>
    </row>
    <row r="502" spans="1:16" x14ac:dyDescent="0.25">
      <c r="A502" t="s">
        <v>16</v>
      </c>
      <c r="B502" t="s">
        <v>17</v>
      </c>
      <c r="C502" t="s">
        <v>27</v>
      </c>
      <c r="D502" s="1">
        <v>44614</v>
      </c>
      <c r="E502" s="2" t="s">
        <v>446</v>
      </c>
      <c r="F502" s="3" t="str">
        <f>HYPERLINK("https://maps.google.com/maps?q=5.18248,-74.96981&amp;ll=5.18248,-74.96981&amp;z=14.75z","Vía Honda - Manizales, Km 12.94 Mariquita - Fresno, , Fatima, Mariquita, Tolima")</f>
        <v>Vía Honda - Manizales, Km 12.94 Mariquita - Fresno, , Fatima, Mariquita, Tolima</v>
      </c>
      <c r="G502">
        <v>32</v>
      </c>
      <c r="H502">
        <v>138218</v>
      </c>
      <c r="I502">
        <v>-74.969809999999995</v>
      </c>
      <c r="J502">
        <v>5.18248</v>
      </c>
      <c r="K502" t="s">
        <v>24</v>
      </c>
      <c r="L502" s="1">
        <v>44614</v>
      </c>
      <c r="M502" s="2" t="s">
        <v>446</v>
      </c>
      <c r="N502" t="s">
        <v>20</v>
      </c>
      <c r="O502" t="s">
        <v>21</v>
      </c>
      <c r="P502" t="s">
        <v>22</v>
      </c>
    </row>
    <row r="503" spans="1:16" x14ac:dyDescent="0.25">
      <c r="A503" t="s">
        <v>16</v>
      </c>
      <c r="B503" t="s">
        <v>17</v>
      </c>
      <c r="C503" t="s">
        <v>18</v>
      </c>
      <c r="D503" s="1">
        <v>44614</v>
      </c>
      <c r="E503" s="2" t="s">
        <v>447</v>
      </c>
      <c r="F503" s="3" t="str">
        <f>HYPERLINK("https://maps.google.com/maps?q=5.18338,-74.96907&amp;ll=5.18338,-74.96907&amp;z=14.75z","Vía Honda - Manizales, Km 12.81 Mariquita - Fresno, , Fatima, Mariquita, Tolima")</f>
        <v>Vía Honda - Manizales, Km 12.81 Mariquita - Fresno, , Fatima, Mariquita, Tolima</v>
      </c>
      <c r="G503">
        <v>25</v>
      </c>
      <c r="H503">
        <v>138218</v>
      </c>
      <c r="I503">
        <v>-74.969070000000002</v>
      </c>
      <c r="J503">
        <v>5.1833799999999997</v>
      </c>
      <c r="K503" t="s">
        <v>19</v>
      </c>
      <c r="L503" s="1">
        <v>44614</v>
      </c>
      <c r="M503" s="2" t="s">
        <v>448</v>
      </c>
      <c r="N503" t="s">
        <v>20</v>
      </c>
      <c r="O503" t="s">
        <v>21</v>
      </c>
      <c r="P503" t="s">
        <v>22</v>
      </c>
    </row>
    <row r="504" spans="1:16" x14ac:dyDescent="0.25">
      <c r="A504" t="s">
        <v>16</v>
      </c>
      <c r="B504" t="s">
        <v>17</v>
      </c>
      <c r="C504" t="s">
        <v>18</v>
      </c>
      <c r="D504" s="1">
        <v>44614</v>
      </c>
      <c r="E504" s="2" t="s">
        <v>448</v>
      </c>
      <c r="F504" s="3" t="str">
        <f>HYPERLINK("https://maps.google.com/maps?q=5.18564,-74.96904&amp;ll=5.18564,-74.96904&amp;z=14.75z","Vía Honda - Manizales, Km 12.42 Mariquita - Fresno, , Fatima, Mariquita, Tolima")</f>
        <v>Vía Honda - Manizales, Km 12.42 Mariquita - Fresno, , Fatima, Mariquita, Tolima</v>
      </c>
      <c r="G504">
        <v>17</v>
      </c>
      <c r="H504">
        <v>138219</v>
      </c>
      <c r="I504">
        <v>-74.969040000000007</v>
      </c>
      <c r="J504">
        <v>5.1856400000000002</v>
      </c>
      <c r="K504" t="s">
        <v>29</v>
      </c>
      <c r="L504" s="1">
        <v>44614</v>
      </c>
      <c r="M504" s="2" t="s">
        <v>449</v>
      </c>
      <c r="N504" t="s">
        <v>20</v>
      </c>
      <c r="O504" t="s">
        <v>21</v>
      </c>
      <c r="P504" t="s">
        <v>22</v>
      </c>
    </row>
    <row r="505" spans="1:16" x14ac:dyDescent="0.25">
      <c r="A505" t="s">
        <v>16</v>
      </c>
      <c r="B505" t="s">
        <v>17</v>
      </c>
      <c r="C505" t="s">
        <v>18</v>
      </c>
      <c r="D505" s="1">
        <v>44614</v>
      </c>
      <c r="E505" s="2" t="s">
        <v>448</v>
      </c>
      <c r="F505" s="3" t="str">
        <f>HYPERLINK("https://maps.google.com/maps?q=5.18754,-74.96582&amp;ll=5.18754,-74.96582&amp;z=14.75z","Vía Honda - Manizales, Km 11.93 Mariquita - Fresno, , Fatima, Mariquita, Tolima")</f>
        <v>Vía Honda - Manizales, Km 11.93 Mariquita - Fresno, , Fatima, Mariquita, Tolima</v>
      </c>
      <c r="G505">
        <v>31</v>
      </c>
      <c r="H505">
        <v>138219</v>
      </c>
      <c r="I505">
        <v>-74.965819999999994</v>
      </c>
      <c r="J505">
        <v>5.1875400000000003</v>
      </c>
      <c r="K505" t="s">
        <v>24</v>
      </c>
      <c r="L505" s="1">
        <v>44614</v>
      </c>
      <c r="M505" s="2" t="s">
        <v>449</v>
      </c>
      <c r="N505" t="s">
        <v>20</v>
      </c>
      <c r="O505" t="s">
        <v>21</v>
      </c>
      <c r="P505" t="s">
        <v>22</v>
      </c>
    </row>
    <row r="506" spans="1:16" x14ac:dyDescent="0.25">
      <c r="A506" t="s">
        <v>16</v>
      </c>
      <c r="B506" t="s">
        <v>17</v>
      </c>
      <c r="C506" t="s">
        <v>18</v>
      </c>
      <c r="D506" s="1">
        <v>44614</v>
      </c>
      <c r="E506" s="2" t="s">
        <v>449</v>
      </c>
      <c r="F506" s="3" t="str">
        <f>HYPERLINK("https://maps.google.com/maps?q=5.18877,-74.96246&amp;ll=5.18877,-74.96246&amp;z=14.75z","Vía Honda - Manizales, Km 11.5 Mariquita - Fresno, , Fatima, Mariquita, Tolima")</f>
        <v>Vía Honda - Manizales, Km 11.5 Mariquita - Fresno, , Fatima, Mariquita, Tolima</v>
      </c>
      <c r="G506">
        <v>24</v>
      </c>
      <c r="H506">
        <v>138220</v>
      </c>
      <c r="I506">
        <v>-74.962459999999993</v>
      </c>
      <c r="J506">
        <v>5.1887699999999999</v>
      </c>
      <c r="K506" t="s">
        <v>33</v>
      </c>
      <c r="L506" s="1">
        <v>44614</v>
      </c>
      <c r="M506" s="2" t="s">
        <v>451</v>
      </c>
      <c r="N506" t="s">
        <v>20</v>
      </c>
      <c r="O506" t="s">
        <v>21</v>
      </c>
      <c r="P506" t="s">
        <v>22</v>
      </c>
    </row>
    <row r="507" spans="1:16" x14ac:dyDescent="0.25">
      <c r="A507" t="s">
        <v>16</v>
      </c>
      <c r="B507" t="s">
        <v>17</v>
      </c>
      <c r="C507" t="s">
        <v>18</v>
      </c>
      <c r="D507" s="1">
        <v>44614</v>
      </c>
      <c r="E507" s="2" t="s">
        <v>450</v>
      </c>
      <c r="F507" s="3" t="str">
        <f>HYPERLINK("https://maps.google.com/maps?q=5.19097,-74.96006&amp;ll=5.19097,-74.96006&amp;z=14.75z","Vía Honda - Manizales, Km 11.04 Mariquita - Fresno, , Cariano, Mariquita, Tolima")</f>
        <v>Vía Honda - Manizales, Km 11.04 Mariquita - Fresno, , Cariano, Mariquita, Tolima</v>
      </c>
      <c r="G507">
        <v>28</v>
      </c>
      <c r="H507">
        <v>138220</v>
      </c>
      <c r="I507">
        <v>-74.960059999999999</v>
      </c>
      <c r="J507">
        <v>5.1909700000000001</v>
      </c>
      <c r="K507" t="s">
        <v>24</v>
      </c>
      <c r="L507" s="1">
        <v>44614</v>
      </c>
      <c r="M507" s="2" t="s">
        <v>451</v>
      </c>
      <c r="N507" t="s">
        <v>20</v>
      </c>
      <c r="O507" t="s">
        <v>21</v>
      </c>
      <c r="P507" t="s">
        <v>22</v>
      </c>
    </row>
    <row r="508" spans="1:16" x14ac:dyDescent="0.25">
      <c r="A508" t="s">
        <v>16</v>
      </c>
      <c r="B508" t="s">
        <v>17</v>
      </c>
      <c r="C508" t="s">
        <v>18</v>
      </c>
      <c r="D508" s="1">
        <v>44614</v>
      </c>
      <c r="E508" s="2" t="s">
        <v>451</v>
      </c>
      <c r="F508" s="3" t="str">
        <f>HYPERLINK("https://maps.google.com/maps?q=5.1933,-74.9576&amp;ll=5.1933,-74.9576&amp;z=14.75z","Vía Honda - Manizales, Km 10.62 Mariquita - Fresno, , Cariano, Mariquita, Tolima")</f>
        <v>Vía Honda - Manizales, Km 10.62 Mariquita - Fresno, , Cariano, Mariquita, Tolima</v>
      </c>
      <c r="G508">
        <v>29</v>
      </c>
      <c r="H508">
        <v>138220</v>
      </c>
      <c r="I508">
        <v>-74.957599999999999</v>
      </c>
      <c r="J508">
        <v>5.1932999999999998</v>
      </c>
      <c r="K508" t="s">
        <v>24</v>
      </c>
      <c r="L508" s="1">
        <v>44614</v>
      </c>
      <c r="M508" s="2" t="s">
        <v>451</v>
      </c>
      <c r="N508" t="s">
        <v>20</v>
      </c>
      <c r="O508" t="s">
        <v>21</v>
      </c>
      <c r="P508" t="s">
        <v>22</v>
      </c>
    </row>
    <row r="509" spans="1:16" x14ac:dyDescent="0.25">
      <c r="A509" t="s">
        <v>16</v>
      </c>
      <c r="B509" t="s">
        <v>17</v>
      </c>
      <c r="C509" t="s">
        <v>18</v>
      </c>
      <c r="D509" s="1">
        <v>44614</v>
      </c>
      <c r="E509" s="2" t="s">
        <v>316</v>
      </c>
      <c r="F509" s="3" t="str">
        <f>HYPERLINK("https://maps.google.com/maps?q=5.19581,-74.95382&amp;ll=5.19581,-74.95382&amp;z=14.75z","Vía Honda - Manizales, Km 10.12 Mariquita - Fresno, , Cariano, Mariquita, Tolima")</f>
        <v>Vía Honda - Manizales, Km 10.12 Mariquita - Fresno, , Cariano, Mariquita, Tolima</v>
      </c>
      <c r="G509">
        <v>29</v>
      </c>
      <c r="H509">
        <v>138221</v>
      </c>
      <c r="I509">
        <v>-74.953819999999993</v>
      </c>
      <c r="J509">
        <v>5.1958099999999998</v>
      </c>
      <c r="K509" t="s">
        <v>24</v>
      </c>
      <c r="L509" s="1">
        <v>44614</v>
      </c>
      <c r="M509" s="2" t="s">
        <v>452</v>
      </c>
      <c r="N509" t="s">
        <v>20</v>
      </c>
      <c r="O509" t="s">
        <v>21</v>
      </c>
      <c r="P509" t="s">
        <v>22</v>
      </c>
    </row>
    <row r="510" spans="1:16" x14ac:dyDescent="0.25">
      <c r="A510" t="s">
        <v>16</v>
      </c>
      <c r="B510" t="s">
        <v>17</v>
      </c>
      <c r="C510" t="s">
        <v>18</v>
      </c>
      <c r="D510" s="1">
        <v>44614</v>
      </c>
      <c r="E510" s="2" t="s">
        <v>452</v>
      </c>
      <c r="F510" s="3" t="str">
        <f>HYPERLINK("https://maps.google.com/maps?q=5.19555,-74.95019&amp;ll=5.19555,-74.95019&amp;z=14.75z","Vía Honda - Manizales, Km 9.69 Mariquita - Fresno, , Cariano, Mariquita, Tolima")</f>
        <v>Vía Honda - Manizales, Km 9.69 Mariquita - Fresno, , Cariano, Mariquita, Tolima</v>
      </c>
      <c r="G510">
        <v>27</v>
      </c>
      <c r="H510">
        <v>138221</v>
      </c>
      <c r="I510">
        <v>-74.950190000000006</v>
      </c>
      <c r="J510">
        <v>5.1955499999999999</v>
      </c>
      <c r="K510" t="s">
        <v>41</v>
      </c>
      <c r="L510" s="1">
        <v>44614</v>
      </c>
      <c r="M510" s="2" t="s">
        <v>452</v>
      </c>
      <c r="N510" t="s">
        <v>20</v>
      </c>
      <c r="O510" t="s">
        <v>21</v>
      </c>
      <c r="P510" t="s">
        <v>22</v>
      </c>
    </row>
    <row r="511" spans="1:16" x14ac:dyDescent="0.25">
      <c r="A511" t="s">
        <v>16</v>
      </c>
      <c r="B511" t="s">
        <v>17</v>
      </c>
      <c r="C511" t="s">
        <v>18</v>
      </c>
      <c r="D511" s="1">
        <v>44614</v>
      </c>
      <c r="E511" s="2" t="s">
        <v>453</v>
      </c>
      <c r="F511" s="3" t="str">
        <f>HYPERLINK("https://maps.google.com/maps?q=5.19518,-74.9474&amp;ll=5.19518,-74.9474&amp;z=14.75z","Vía Honda - Manizales, Km 9.23 Mariquita - Fresno, , La Parroquia, Mariquita, Tolima")</f>
        <v>Vía Honda - Manizales, Km 9.23 Mariquita - Fresno, , La Parroquia, Mariquita, Tolima</v>
      </c>
      <c r="G511">
        <v>36</v>
      </c>
      <c r="H511">
        <v>138222</v>
      </c>
      <c r="I511">
        <v>-74.947400000000002</v>
      </c>
      <c r="J511">
        <v>5.1951799999999997</v>
      </c>
      <c r="K511" t="s">
        <v>24</v>
      </c>
      <c r="L511" s="1">
        <v>44614</v>
      </c>
      <c r="M511" s="2" t="s">
        <v>454</v>
      </c>
      <c r="N511" t="s">
        <v>20</v>
      </c>
      <c r="O511" t="s">
        <v>21</v>
      </c>
      <c r="P511" t="s">
        <v>22</v>
      </c>
    </row>
    <row r="512" spans="1:16" x14ac:dyDescent="0.25">
      <c r="A512" t="s">
        <v>16</v>
      </c>
      <c r="B512" t="s">
        <v>17</v>
      </c>
      <c r="C512" t="s">
        <v>18</v>
      </c>
      <c r="D512" s="1">
        <v>44614</v>
      </c>
      <c r="E512" s="2" t="s">
        <v>453</v>
      </c>
      <c r="F512" s="3" t="str">
        <f>HYPERLINK("https://maps.google.com/maps?q=5.19518,-74.9474&amp;ll=5.19518,-74.9474&amp;z=14.75z","Vía Honda - Manizales, Km 9.23 Mariquita - Fresno, , La Parroquia, Mariquita, Tolima")</f>
        <v>Vía Honda - Manizales, Km 9.23 Mariquita - Fresno, , La Parroquia, Mariquita, Tolima</v>
      </c>
      <c r="G512">
        <v>36</v>
      </c>
      <c r="H512">
        <v>138222</v>
      </c>
      <c r="I512">
        <v>-74.947400000000002</v>
      </c>
      <c r="J512">
        <v>5.1951799999999997</v>
      </c>
      <c r="K512" t="s">
        <v>24</v>
      </c>
      <c r="L512" s="1">
        <v>44614</v>
      </c>
      <c r="M512" s="2" t="s">
        <v>454</v>
      </c>
      <c r="N512" t="s">
        <v>20</v>
      </c>
      <c r="O512" t="s">
        <v>21</v>
      </c>
      <c r="P512" t="s">
        <v>22</v>
      </c>
    </row>
    <row r="513" spans="1:16" x14ac:dyDescent="0.25">
      <c r="A513" t="s">
        <v>16</v>
      </c>
      <c r="B513" t="s">
        <v>17</v>
      </c>
      <c r="C513" t="s">
        <v>18</v>
      </c>
      <c r="D513" s="1">
        <v>44614</v>
      </c>
      <c r="E513" s="2" t="s">
        <v>454</v>
      </c>
      <c r="F513" s="3" t="str">
        <f>HYPERLINK("https://maps.google.com/maps?q=5.1947,-74.94432&amp;ll=5.1947,-74.94432&amp;z=14.75z","Vía Honda - Manizales, Km 8.74 Mariquita - Fresno, , La Parroquia, Mariquita, Tolima")</f>
        <v>Vía Honda - Manizales, Km 8.74 Mariquita - Fresno, , La Parroquia, Mariquita, Tolima</v>
      </c>
      <c r="G513">
        <v>24</v>
      </c>
      <c r="H513">
        <v>138222</v>
      </c>
      <c r="I513">
        <v>-74.944320000000005</v>
      </c>
      <c r="J513">
        <v>5.1947000000000001</v>
      </c>
      <c r="K513" t="s">
        <v>31</v>
      </c>
      <c r="L513" s="1">
        <v>44614</v>
      </c>
      <c r="M513" s="2" t="s">
        <v>454</v>
      </c>
      <c r="N513" t="s">
        <v>20</v>
      </c>
      <c r="O513" t="s">
        <v>21</v>
      </c>
      <c r="P513" t="s">
        <v>22</v>
      </c>
    </row>
    <row r="514" spans="1:16" x14ac:dyDescent="0.25">
      <c r="A514" t="s">
        <v>16</v>
      </c>
      <c r="B514" t="s">
        <v>17</v>
      </c>
      <c r="C514" t="s">
        <v>18</v>
      </c>
      <c r="D514" s="1">
        <v>44614</v>
      </c>
      <c r="E514" s="2" t="s">
        <v>455</v>
      </c>
      <c r="F514" s="3" t="str">
        <f>HYPERLINK("https://maps.google.com/maps?q=5.19458,-74.94111&amp;ll=5.19458,-74.94111&amp;z=14.75z","Vía Honda - Manizales, Km 8.2 Mariquita - Fresno, , La Parroquia, Mariquita, Tolima")</f>
        <v>Vía Honda - Manizales, Km 8.2 Mariquita - Fresno, , La Parroquia, Mariquita, Tolima</v>
      </c>
      <c r="G514">
        <v>32</v>
      </c>
      <c r="H514">
        <v>138223</v>
      </c>
      <c r="I514">
        <v>-74.941109999999995</v>
      </c>
      <c r="J514">
        <v>5.1945800000000002</v>
      </c>
      <c r="K514" t="s">
        <v>24</v>
      </c>
      <c r="L514" s="1">
        <v>44614</v>
      </c>
      <c r="M514" s="2" t="s">
        <v>455</v>
      </c>
      <c r="N514" t="s">
        <v>20</v>
      </c>
      <c r="O514" t="s">
        <v>21</v>
      </c>
      <c r="P514" t="s">
        <v>22</v>
      </c>
    </row>
    <row r="515" spans="1:16" x14ac:dyDescent="0.25">
      <c r="A515" t="s">
        <v>16</v>
      </c>
      <c r="B515" t="s">
        <v>17</v>
      </c>
      <c r="C515" t="s">
        <v>18</v>
      </c>
      <c r="D515" s="1">
        <v>44614</v>
      </c>
      <c r="E515" s="2" t="s">
        <v>456</v>
      </c>
      <c r="F515" s="3" t="str">
        <f>HYPERLINK("https://maps.google.com/maps?q=5.197,-74.93696&amp;ll=5.197,-74.93696&amp;z=14.75z","Vía Honda - Manizales, Km 7.67 Mariquita - Fresno, , La Parroquia, Mariquita, Tolima")</f>
        <v>Vía Honda - Manizales, Km 7.67 Mariquita - Fresno, , La Parroquia, Mariquita, Tolima</v>
      </c>
      <c r="G515">
        <v>35</v>
      </c>
      <c r="H515">
        <v>138223</v>
      </c>
      <c r="I515">
        <v>-74.936959999999999</v>
      </c>
      <c r="J515">
        <v>5.1970000000000001</v>
      </c>
      <c r="K515" t="s">
        <v>24</v>
      </c>
      <c r="L515" s="1">
        <v>44614</v>
      </c>
      <c r="M515" s="2" t="s">
        <v>456</v>
      </c>
      <c r="N515" t="s">
        <v>20</v>
      </c>
      <c r="O515" t="s">
        <v>21</v>
      </c>
      <c r="P515" t="s">
        <v>22</v>
      </c>
    </row>
    <row r="516" spans="1:16" x14ac:dyDescent="0.25">
      <c r="A516" t="s">
        <v>16</v>
      </c>
      <c r="B516" t="s">
        <v>17</v>
      </c>
      <c r="C516" t="s">
        <v>18</v>
      </c>
      <c r="D516" s="1">
        <v>44614</v>
      </c>
      <c r="E516" s="2" t="s">
        <v>457</v>
      </c>
      <c r="F516" s="3" t="str">
        <f>HYPERLINK("https://maps.google.com/maps?q=5.20026,-74.93557&amp;ll=5.20026,-74.93557&amp;z=14.75z","Vía Honda - Manizales, Km 7.15 Mariquita - Fresno, , La Parroquia, Mariquita, Tolima")</f>
        <v>Vía Honda - Manizales, Km 7.15 Mariquita - Fresno, , La Parroquia, Mariquita, Tolima</v>
      </c>
      <c r="G516">
        <v>27</v>
      </c>
      <c r="H516">
        <v>138224</v>
      </c>
      <c r="I516">
        <v>-74.935569999999998</v>
      </c>
      <c r="J516">
        <v>5.2002600000000001</v>
      </c>
      <c r="K516" t="s">
        <v>41</v>
      </c>
      <c r="L516" s="1">
        <v>44614</v>
      </c>
      <c r="M516" s="2" t="s">
        <v>458</v>
      </c>
      <c r="N516" t="s">
        <v>20</v>
      </c>
      <c r="O516" t="s">
        <v>21</v>
      </c>
      <c r="P516" t="s">
        <v>22</v>
      </c>
    </row>
    <row r="517" spans="1:16" x14ac:dyDescent="0.25">
      <c r="A517" t="s">
        <v>16</v>
      </c>
      <c r="B517" t="s">
        <v>17</v>
      </c>
      <c r="C517" t="s">
        <v>18</v>
      </c>
      <c r="D517" s="1">
        <v>44614</v>
      </c>
      <c r="E517" s="2" t="s">
        <v>458</v>
      </c>
      <c r="F517" s="3" t="str">
        <f>HYPERLINK("https://maps.google.com/maps?q=5.20066,-74.93266&amp;ll=5.20066,-74.93266&amp;z=14.75z","Vía Honda - Manizales, Km 6.69 Mariquita - Fresno, , La Parroquia, Mariquita, Tolima")</f>
        <v>Vía Honda - Manizales, Km 6.69 Mariquita - Fresno, , La Parroquia, Mariquita, Tolima</v>
      </c>
      <c r="G517">
        <v>33</v>
      </c>
      <c r="H517">
        <v>138224</v>
      </c>
      <c r="I517">
        <v>-74.932659999999998</v>
      </c>
      <c r="J517">
        <v>5.2006600000000001</v>
      </c>
      <c r="K517" t="s">
        <v>23</v>
      </c>
      <c r="L517" s="1">
        <v>44614</v>
      </c>
      <c r="M517" s="2" t="s">
        <v>458</v>
      </c>
      <c r="N517" t="s">
        <v>20</v>
      </c>
      <c r="O517" t="s">
        <v>21</v>
      </c>
      <c r="P517" t="s">
        <v>22</v>
      </c>
    </row>
    <row r="518" spans="1:16" x14ac:dyDescent="0.25">
      <c r="A518" t="s">
        <v>16</v>
      </c>
      <c r="B518" t="s">
        <v>17</v>
      </c>
      <c r="C518" t="s">
        <v>27</v>
      </c>
      <c r="D518" s="1">
        <v>44614</v>
      </c>
      <c r="E518" s="2" t="s">
        <v>458</v>
      </c>
      <c r="F518" s="3" t="str">
        <f>HYPERLINK("https://maps.google.com/maps?q=5.20239,-74.93139&amp;ll=5.20239,-74.93139&amp;z=14.75z","Vía Honda - Manizales, Km 6.43 Mariquita - Fresno, , La Parroquia, Mariquita, Tolima")</f>
        <v>Vía Honda - Manizales, Km 6.43 Mariquita - Fresno, , La Parroquia, Mariquita, Tolima</v>
      </c>
      <c r="G518">
        <v>27</v>
      </c>
      <c r="H518">
        <v>138224</v>
      </c>
      <c r="I518">
        <v>-74.931389999999993</v>
      </c>
      <c r="J518">
        <v>5.2023900000000003</v>
      </c>
      <c r="K518" t="s">
        <v>23</v>
      </c>
      <c r="L518" s="1">
        <v>44614</v>
      </c>
      <c r="M518" s="2" t="s">
        <v>458</v>
      </c>
      <c r="N518" t="s">
        <v>20</v>
      </c>
      <c r="O518" t="s">
        <v>21</v>
      </c>
      <c r="P518" t="s">
        <v>22</v>
      </c>
    </row>
    <row r="519" spans="1:16" x14ac:dyDescent="0.25">
      <c r="A519" t="s">
        <v>16</v>
      </c>
      <c r="B519" t="s">
        <v>17</v>
      </c>
      <c r="C519" t="s">
        <v>18</v>
      </c>
      <c r="D519" s="1">
        <v>44614</v>
      </c>
      <c r="E519" s="2" t="s">
        <v>459</v>
      </c>
      <c r="F519" s="3" t="str">
        <f>HYPERLINK("https://maps.google.com/maps?q=5.20404,-74.93115&amp;ll=5.20404,-74.93115&amp;z=14.75z","Vía Honda - Manizales, Km 6.16 Mariquita - Fresno, , La Parroquia, Mariquita, Tolima")</f>
        <v>Vía Honda - Manizales, Km 6.16 Mariquita - Fresno, , La Parroquia, Mariquita, Tolima</v>
      </c>
      <c r="G519">
        <v>31</v>
      </c>
      <c r="H519">
        <v>138225</v>
      </c>
      <c r="I519">
        <v>-74.931150000000002</v>
      </c>
      <c r="J519">
        <v>5.20404</v>
      </c>
      <c r="K519" t="s">
        <v>24</v>
      </c>
      <c r="L519" s="1">
        <v>44614</v>
      </c>
      <c r="M519" s="2" t="s">
        <v>317</v>
      </c>
      <c r="N519" t="s">
        <v>20</v>
      </c>
      <c r="O519" t="s">
        <v>21</v>
      </c>
      <c r="P519" t="s">
        <v>22</v>
      </c>
    </row>
    <row r="520" spans="1:16" x14ac:dyDescent="0.25">
      <c r="A520" t="s">
        <v>16</v>
      </c>
      <c r="B520" t="s">
        <v>17</v>
      </c>
      <c r="C520" t="s">
        <v>18</v>
      </c>
      <c r="D520" s="1">
        <v>44614</v>
      </c>
      <c r="E520" s="2" t="s">
        <v>317</v>
      </c>
      <c r="F520" s="3" t="str">
        <f>HYPERLINK("https://maps.google.com/maps?q=5.20478,-74.92675&amp;ll=5.20478,-74.92675&amp;z=14.75z","Vía Honda - Manizales, Km 5.63 Mariquita - Fresno, , La Parroquia, Mariquita, Tolima")</f>
        <v>Vía Honda - Manizales, Km 5.63 Mariquita - Fresno, , La Parroquia, Mariquita, Tolima</v>
      </c>
      <c r="G520">
        <v>38</v>
      </c>
      <c r="H520">
        <v>138225</v>
      </c>
      <c r="I520">
        <v>-74.926749999999998</v>
      </c>
      <c r="J520">
        <v>5.2047800000000004</v>
      </c>
      <c r="K520" t="s">
        <v>41</v>
      </c>
      <c r="L520" s="1">
        <v>44614</v>
      </c>
      <c r="M520" s="2" t="s">
        <v>819</v>
      </c>
      <c r="N520" t="s">
        <v>20</v>
      </c>
      <c r="O520" t="s">
        <v>21</v>
      </c>
      <c r="P520" t="s">
        <v>22</v>
      </c>
    </row>
    <row r="521" spans="1:16" x14ac:dyDescent="0.25">
      <c r="A521" t="s">
        <v>16</v>
      </c>
      <c r="B521" t="s">
        <v>17</v>
      </c>
      <c r="C521" t="s">
        <v>18</v>
      </c>
      <c r="D521" s="1">
        <v>44614</v>
      </c>
      <c r="E521" s="2" t="s">
        <v>819</v>
      </c>
      <c r="F521" s="3" t="str">
        <f>HYPERLINK("https://maps.google.com/maps?q=5.20663,-74.92428&amp;ll=5.20663,-74.92428&amp;z=14.75z","Vía Honda - Manizales, Km 5.08 Mariquita - Fresno, , Las Lomas, Mariquita, Tolima")</f>
        <v>Vía Honda - Manizales, Km 5.08 Mariquita - Fresno, , Las Lomas, Mariquita, Tolima</v>
      </c>
      <c r="G521">
        <v>27</v>
      </c>
      <c r="H521">
        <v>138226</v>
      </c>
      <c r="I521">
        <v>-74.924279999999996</v>
      </c>
      <c r="J521">
        <v>5.2066299999999996</v>
      </c>
      <c r="K521" t="s">
        <v>24</v>
      </c>
      <c r="L521" s="1">
        <v>44614</v>
      </c>
      <c r="M521" s="2" t="s">
        <v>819</v>
      </c>
      <c r="N521" t="s">
        <v>20</v>
      </c>
      <c r="O521" t="s">
        <v>21</v>
      </c>
      <c r="P521" t="s">
        <v>22</v>
      </c>
    </row>
    <row r="522" spans="1:16" x14ac:dyDescent="0.25">
      <c r="A522" t="s">
        <v>16</v>
      </c>
      <c r="B522" t="s">
        <v>17</v>
      </c>
      <c r="C522" t="s">
        <v>18</v>
      </c>
      <c r="D522" s="1">
        <v>44614</v>
      </c>
      <c r="E522" s="2" t="s">
        <v>819</v>
      </c>
      <c r="F522" s="3" t="str">
        <f>HYPERLINK("https://maps.google.com/maps?q=5.21032,-74.9231&amp;ll=5.21032,-74.9231&amp;z=14.75z","Vía Honda - Manizales, Km 4.68 Mariquita - Fresno, , Las Lomas, Mariquita, Tolima")</f>
        <v>Vía Honda - Manizales, Km 4.68 Mariquita - Fresno, , Las Lomas, Mariquita, Tolima</v>
      </c>
      <c r="G522">
        <v>23</v>
      </c>
      <c r="H522">
        <v>138226</v>
      </c>
      <c r="I522">
        <v>-74.923100000000005</v>
      </c>
      <c r="J522">
        <v>5.2103200000000003</v>
      </c>
      <c r="K522" t="s">
        <v>23</v>
      </c>
      <c r="L522" s="1">
        <v>44614</v>
      </c>
      <c r="M522" s="2" t="s">
        <v>820</v>
      </c>
      <c r="N522" t="s">
        <v>20</v>
      </c>
      <c r="O522" t="s">
        <v>21</v>
      </c>
      <c r="P522" t="s">
        <v>22</v>
      </c>
    </row>
    <row r="523" spans="1:16" x14ac:dyDescent="0.25">
      <c r="A523" t="s">
        <v>16</v>
      </c>
      <c r="B523" t="s">
        <v>17</v>
      </c>
      <c r="C523" t="s">
        <v>18</v>
      </c>
      <c r="D523" s="1">
        <v>44614</v>
      </c>
      <c r="E523" s="2" t="s">
        <v>821</v>
      </c>
      <c r="F523" s="3" t="str">
        <f>HYPERLINK("https://maps.google.com/maps?q=5.21273,-74.91964&amp;ll=5.21273,-74.91964&amp;z=14.75z","Vía Honda - Manizales, Km 4.14 Mariquita - Fresno, , Las Lomas, Mariquita, Tolima")</f>
        <v>Vía Honda - Manizales, Km 4.14 Mariquita - Fresno, , Las Lomas, Mariquita, Tolima</v>
      </c>
      <c r="G523">
        <v>29</v>
      </c>
      <c r="H523">
        <v>138227</v>
      </c>
      <c r="I523">
        <v>-74.919640000000001</v>
      </c>
      <c r="J523">
        <v>5.2127299999999996</v>
      </c>
      <c r="K523" t="s">
        <v>41</v>
      </c>
      <c r="L523" s="1">
        <v>44614</v>
      </c>
      <c r="M523" s="2" t="s">
        <v>820</v>
      </c>
      <c r="N523" t="s">
        <v>20</v>
      </c>
      <c r="O523" t="s">
        <v>21</v>
      </c>
      <c r="P523" t="s">
        <v>22</v>
      </c>
    </row>
    <row r="524" spans="1:16" x14ac:dyDescent="0.25">
      <c r="A524" t="s">
        <v>16</v>
      </c>
      <c r="B524" t="s">
        <v>17</v>
      </c>
      <c r="C524" t="s">
        <v>18</v>
      </c>
      <c r="D524" s="1">
        <v>44614</v>
      </c>
      <c r="E524" s="2" t="s">
        <v>822</v>
      </c>
      <c r="F524" s="3" t="str">
        <f>HYPERLINK("https://maps.google.com/maps?q=5.21219,-74.91653&amp;ll=5.21219,-74.91653&amp;z=14.75z","Vía Honda - Manizales, Km 3.72 Mariquita - Fresno, , Las Lomas, Mariquita, Tolima")</f>
        <v>Vía Honda - Manizales, Km 3.72 Mariquita - Fresno, , Las Lomas, Mariquita, Tolima</v>
      </c>
      <c r="G524">
        <v>27</v>
      </c>
      <c r="H524">
        <v>138227</v>
      </c>
      <c r="I524">
        <v>-74.916529999999995</v>
      </c>
      <c r="J524">
        <v>5.2121899999999997</v>
      </c>
      <c r="K524" t="s">
        <v>33</v>
      </c>
      <c r="L524" s="1">
        <v>44614</v>
      </c>
      <c r="M524" s="2" t="s">
        <v>820</v>
      </c>
      <c r="N524" t="s">
        <v>20</v>
      </c>
      <c r="O524" t="s">
        <v>21</v>
      </c>
      <c r="P524" t="s">
        <v>22</v>
      </c>
    </row>
    <row r="525" spans="1:16" x14ac:dyDescent="0.25">
      <c r="A525" t="s">
        <v>16</v>
      </c>
      <c r="B525" t="s">
        <v>17</v>
      </c>
      <c r="C525" t="s">
        <v>18</v>
      </c>
      <c r="D525" s="1">
        <v>44614</v>
      </c>
      <c r="E525" s="2" t="s">
        <v>823</v>
      </c>
      <c r="F525" s="3" t="str">
        <f>HYPERLINK("https://maps.google.com/maps?q=5.2099,-74.9131&amp;ll=5.2099,-74.9131&amp;z=14.75z","Vía Honda - Manizales, Km 3.25 Mariquita - Fresno, , Las Lomas, Mariquita, Tolima")</f>
        <v>Vía Honda - Manizales, Km 3.25 Mariquita - Fresno, , Las Lomas, Mariquita, Tolima</v>
      </c>
      <c r="G525">
        <v>29</v>
      </c>
      <c r="H525">
        <v>138227</v>
      </c>
      <c r="I525">
        <v>-74.9131</v>
      </c>
      <c r="J525">
        <v>5.2099000000000002</v>
      </c>
      <c r="K525" t="s">
        <v>41</v>
      </c>
      <c r="L525" s="1">
        <v>44614</v>
      </c>
      <c r="M525" s="2" t="s">
        <v>820</v>
      </c>
      <c r="N525" t="s">
        <v>20</v>
      </c>
      <c r="O525" t="s">
        <v>21</v>
      </c>
      <c r="P525" t="s">
        <v>22</v>
      </c>
    </row>
    <row r="526" spans="1:16" x14ac:dyDescent="0.25">
      <c r="A526" t="s">
        <v>16</v>
      </c>
      <c r="B526" t="s">
        <v>17</v>
      </c>
      <c r="C526" t="s">
        <v>18</v>
      </c>
      <c r="D526" s="1">
        <v>44614</v>
      </c>
      <c r="E526" s="2" t="s">
        <v>780</v>
      </c>
      <c r="F526" s="3" t="str">
        <f>HYPERLINK("https://maps.google.com/maps?q=5.20709,-74.91002&amp;ll=5.20709,-74.91002&amp;z=14.75z","Vía Honda - Manizales, Km 2.73 Mariquita - Fresno, , Las Lomas, Mariquita, Tolima")</f>
        <v>Vía Honda - Manizales, Km 2.73 Mariquita - Fresno, , Las Lomas, Mariquita, Tolima</v>
      </c>
      <c r="G526">
        <v>30</v>
      </c>
      <c r="H526">
        <v>138228</v>
      </c>
      <c r="I526">
        <v>-74.910020000000003</v>
      </c>
      <c r="J526">
        <v>5.20709</v>
      </c>
      <c r="K526" t="s">
        <v>41</v>
      </c>
      <c r="L526" s="1">
        <v>44614</v>
      </c>
      <c r="M526" s="2" t="s">
        <v>820</v>
      </c>
      <c r="N526" t="s">
        <v>20</v>
      </c>
      <c r="O526" t="s">
        <v>21</v>
      </c>
      <c r="P526" t="s">
        <v>22</v>
      </c>
    </row>
    <row r="527" spans="1:16" x14ac:dyDescent="0.25">
      <c r="A527" t="s">
        <v>16</v>
      </c>
      <c r="B527" t="s">
        <v>17</v>
      </c>
      <c r="C527" t="s">
        <v>27</v>
      </c>
      <c r="D527" s="1">
        <v>44614</v>
      </c>
      <c r="E527" s="2" t="s">
        <v>820</v>
      </c>
      <c r="F527" s="3" t="str">
        <f>HYPERLINK("https://maps.google.com/maps?q=5.20883,-74.90872&amp;ll=5.20883,-74.90872&amp;z=14.75z","Vía Honda - Manizales, Km 2.32 Mariquita - Fresno, , Las Lomas, Mariquita, Tolima")</f>
        <v>Vía Honda - Manizales, Km 2.32 Mariquita - Fresno, , Las Lomas, Mariquita, Tolima</v>
      </c>
      <c r="G527">
        <v>24</v>
      </c>
      <c r="H527">
        <v>138228</v>
      </c>
      <c r="I527">
        <v>-74.908720000000002</v>
      </c>
      <c r="J527">
        <v>5.2088299999999998</v>
      </c>
      <c r="K527" t="s">
        <v>29</v>
      </c>
      <c r="L527" s="1">
        <v>44614</v>
      </c>
      <c r="M527" s="2" t="s">
        <v>820</v>
      </c>
      <c r="N527" t="s">
        <v>20</v>
      </c>
      <c r="O527" t="s">
        <v>21</v>
      </c>
      <c r="P527" t="s">
        <v>22</v>
      </c>
    </row>
    <row r="528" spans="1:16" x14ac:dyDescent="0.25">
      <c r="A528" t="s">
        <v>16</v>
      </c>
      <c r="B528" t="s">
        <v>17</v>
      </c>
      <c r="C528" t="s">
        <v>18</v>
      </c>
      <c r="D528" s="1">
        <v>44614</v>
      </c>
      <c r="E528" s="2" t="s">
        <v>820</v>
      </c>
      <c r="F528" s="3" t="str">
        <f>HYPERLINK("https://maps.google.com/maps?q=5.20885,-74.90878&amp;ll=5.20885,-74.90878&amp;z=14.75z","Vía Honda - Manizales, Km 2.32 Mariquita - Fresno, , Las Lomas, Mariquita, Tolima")</f>
        <v>Vía Honda - Manizales, Km 2.32 Mariquita - Fresno, , Las Lomas, Mariquita, Tolima</v>
      </c>
      <c r="G528">
        <v>28</v>
      </c>
      <c r="H528">
        <v>138228</v>
      </c>
      <c r="I528">
        <v>-74.908779999999993</v>
      </c>
      <c r="J528">
        <v>5.20885</v>
      </c>
      <c r="K528" t="s">
        <v>29</v>
      </c>
      <c r="L528" s="1">
        <v>44614</v>
      </c>
      <c r="M528" s="2" t="s">
        <v>820</v>
      </c>
      <c r="N528" t="s">
        <v>20</v>
      </c>
      <c r="O528" t="s">
        <v>21</v>
      </c>
      <c r="P528" t="s">
        <v>22</v>
      </c>
    </row>
    <row r="529" spans="1:16" x14ac:dyDescent="0.25">
      <c r="A529" t="s">
        <v>16</v>
      </c>
      <c r="B529" t="s">
        <v>17</v>
      </c>
      <c r="C529" t="s">
        <v>18</v>
      </c>
      <c r="D529" s="1">
        <v>44614</v>
      </c>
      <c r="E529" s="2" t="s">
        <v>739</v>
      </c>
      <c r="F529" s="3" t="str">
        <f>HYPERLINK("https://maps.google.com/maps?q=5.21021,-74.90639&amp;ll=5.21021,-74.90639&amp;z=14.75z","Vía Honda - Manizales, Km 1.92 Mariquita - Fresno, , Las Lomas, Mariquita, Tolima")</f>
        <v>Vía Honda - Manizales, Km 1.92 Mariquita - Fresno, , Las Lomas, Mariquita, Tolima</v>
      </c>
      <c r="G529">
        <v>25</v>
      </c>
      <c r="H529">
        <v>138229</v>
      </c>
      <c r="I529">
        <v>-74.906390000000002</v>
      </c>
      <c r="J529">
        <v>5.21021</v>
      </c>
      <c r="K529" t="s">
        <v>41</v>
      </c>
      <c r="L529" s="1">
        <v>44614</v>
      </c>
      <c r="M529" s="2" t="s">
        <v>739</v>
      </c>
      <c r="N529" t="s">
        <v>20</v>
      </c>
      <c r="O529" t="s">
        <v>21</v>
      </c>
      <c r="P529" t="s">
        <v>22</v>
      </c>
    </row>
    <row r="530" spans="1:16" x14ac:dyDescent="0.25">
      <c r="A530" t="s">
        <v>16</v>
      </c>
      <c r="B530" t="s">
        <v>17</v>
      </c>
      <c r="C530" t="s">
        <v>18</v>
      </c>
      <c r="D530" s="1">
        <v>44614</v>
      </c>
      <c r="E530" s="2" t="s">
        <v>824</v>
      </c>
      <c r="F530" s="3" t="str">
        <f>HYPERLINK("https://maps.google.com/maps?q=5.20887,-74.90244&amp;ll=5.20887,-74.90244&amp;z=14.75z","Vía Honda - Manizales, Km 1.39 Mariquita - Fresno, , Las Lomas, Mariquita, Tolima")</f>
        <v>Vía Honda - Manizales, Km 1.39 Mariquita - Fresno, , Las Lomas, Mariquita, Tolima</v>
      </c>
      <c r="G530">
        <v>28</v>
      </c>
      <c r="H530">
        <v>138229</v>
      </c>
      <c r="I530">
        <v>-74.902439999999999</v>
      </c>
      <c r="J530">
        <v>5.2088700000000001</v>
      </c>
      <c r="K530" t="s">
        <v>33</v>
      </c>
      <c r="L530" s="1">
        <v>44614</v>
      </c>
      <c r="M530" s="2" t="s">
        <v>824</v>
      </c>
      <c r="N530" t="s">
        <v>20</v>
      </c>
      <c r="O530" t="s">
        <v>21</v>
      </c>
      <c r="P530" t="s">
        <v>22</v>
      </c>
    </row>
    <row r="531" spans="1:16" x14ac:dyDescent="0.25">
      <c r="A531" t="s">
        <v>16</v>
      </c>
      <c r="B531" t="s">
        <v>17</v>
      </c>
      <c r="C531" t="s">
        <v>18</v>
      </c>
      <c r="D531" s="1">
        <v>44614</v>
      </c>
      <c r="E531" s="2" t="s">
        <v>825</v>
      </c>
      <c r="F531" s="3" t="str">
        <f>HYPERLINK("https://maps.google.com/maps?q=5.20794,-74.89914&amp;ll=5.20794,-74.89914&amp;z=14.75z","Vía Honda - Manizales, Km 0.88 Mariquita - Fresno, , Las Lomas, Mariquita, Tolima")</f>
        <v>Vía Honda - Manizales, Km 0.88 Mariquita - Fresno, , Las Lomas, Mariquita, Tolima</v>
      </c>
      <c r="G531">
        <v>23</v>
      </c>
      <c r="H531">
        <v>138229</v>
      </c>
      <c r="I531">
        <v>-74.899140000000003</v>
      </c>
      <c r="J531">
        <v>5.2079399999999998</v>
      </c>
      <c r="K531" t="s">
        <v>31</v>
      </c>
      <c r="L531" s="1">
        <v>44614</v>
      </c>
      <c r="M531" s="2" t="s">
        <v>825</v>
      </c>
      <c r="N531" t="s">
        <v>20</v>
      </c>
      <c r="O531" t="s">
        <v>21</v>
      </c>
      <c r="P531" t="s">
        <v>22</v>
      </c>
    </row>
    <row r="532" spans="1:16" x14ac:dyDescent="0.25">
      <c r="A532" t="s">
        <v>16</v>
      </c>
      <c r="B532" t="s">
        <v>17</v>
      </c>
      <c r="C532" t="s">
        <v>18</v>
      </c>
      <c r="D532" s="1">
        <v>44614</v>
      </c>
      <c r="E532" s="2" t="s">
        <v>826</v>
      </c>
      <c r="F532" s="3" t="str">
        <f>HYPERLINK("https://maps.google.com/maps?q=5.20778,-74.89611&amp;ll=5.20778,-74.89611&amp;z=14.75z","Cra 7, , Las Lomas, Mariquita, Tolima")</f>
        <v>Cra 7, , Las Lomas, Mariquita, Tolima</v>
      </c>
      <c r="G532">
        <v>30</v>
      </c>
      <c r="H532">
        <v>138230</v>
      </c>
      <c r="I532">
        <v>-74.896109999999993</v>
      </c>
      <c r="J532">
        <v>5.2077799999999996</v>
      </c>
      <c r="K532" t="s">
        <v>41</v>
      </c>
      <c r="L532" s="1">
        <v>44614</v>
      </c>
      <c r="M532" s="2" t="s">
        <v>826</v>
      </c>
      <c r="N532" t="s">
        <v>20</v>
      </c>
      <c r="O532" t="s">
        <v>21</v>
      </c>
      <c r="P532" t="s">
        <v>22</v>
      </c>
    </row>
    <row r="533" spans="1:16" x14ac:dyDescent="0.25">
      <c r="A533" t="s">
        <v>16</v>
      </c>
      <c r="B533" t="s">
        <v>17</v>
      </c>
      <c r="C533" t="s">
        <v>18</v>
      </c>
      <c r="D533" s="1">
        <v>44614</v>
      </c>
      <c r="E533" s="2" t="s">
        <v>827</v>
      </c>
      <c r="F533" s="3" t="str">
        <f>HYPERLINK("https://maps.google.com/maps?q=5.20487,-74.89431&amp;ll=5.20487,-74.89431&amp;z=14.75z","Cra 7, 1, , , Mariquita, Tolima")</f>
        <v>Cra 7, 1, , , Mariquita, Tolima</v>
      </c>
      <c r="G533">
        <v>28</v>
      </c>
      <c r="H533">
        <v>138230</v>
      </c>
      <c r="I533">
        <v>-74.894310000000004</v>
      </c>
      <c r="J533">
        <v>5.2048699999999997</v>
      </c>
      <c r="K533" t="s">
        <v>31</v>
      </c>
      <c r="L533" s="1">
        <v>44614</v>
      </c>
      <c r="M533" s="2" t="s">
        <v>827</v>
      </c>
      <c r="N533" t="s">
        <v>20</v>
      </c>
      <c r="O533" t="s">
        <v>21</v>
      </c>
      <c r="P533" t="s">
        <v>22</v>
      </c>
    </row>
    <row r="534" spans="1:16" x14ac:dyDescent="0.25">
      <c r="A534" t="s">
        <v>16</v>
      </c>
      <c r="B534" t="s">
        <v>17</v>
      </c>
      <c r="C534" t="s">
        <v>18</v>
      </c>
      <c r="D534" s="1">
        <v>44614</v>
      </c>
      <c r="E534" s="2" t="s">
        <v>291</v>
      </c>
      <c r="F534" s="3" t="str">
        <f>HYPERLINK("https://maps.google.com/maps?q=5.20144,-74.89316&amp;ll=5.20144,-74.89316&amp;z=14.75z","Cra 7, 4, , , Mariquita, Tolima")</f>
        <v>Cra 7, 4, , , Mariquita, Tolima</v>
      </c>
      <c r="G534">
        <v>22</v>
      </c>
      <c r="H534">
        <v>138231</v>
      </c>
      <c r="I534">
        <v>-74.893159999999995</v>
      </c>
      <c r="J534">
        <v>5.2014399999999998</v>
      </c>
      <c r="K534" t="s">
        <v>31</v>
      </c>
      <c r="L534" s="1">
        <v>44614</v>
      </c>
      <c r="M534" s="2" t="s">
        <v>291</v>
      </c>
      <c r="N534" t="s">
        <v>20</v>
      </c>
      <c r="O534" t="s">
        <v>21</v>
      </c>
      <c r="P534" t="s">
        <v>22</v>
      </c>
    </row>
    <row r="535" spans="1:16" x14ac:dyDescent="0.25">
      <c r="A535" t="s">
        <v>16</v>
      </c>
      <c r="B535" t="s">
        <v>17</v>
      </c>
      <c r="C535" t="s">
        <v>18</v>
      </c>
      <c r="D535" s="1">
        <v>44614</v>
      </c>
      <c r="E535" s="2" t="s">
        <v>828</v>
      </c>
      <c r="F535" s="3" t="str">
        <f>HYPERLINK("https://maps.google.com/maps?q=5.19889,-74.8923&amp;ll=5.19889,-74.8923&amp;z=14.75z","Cra 7, 6, , , Mariquita, Tolima")</f>
        <v>Cra 7, 6, , , Mariquita, Tolima</v>
      </c>
      <c r="G535">
        <v>4</v>
      </c>
      <c r="H535">
        <v>138231</v>
      </c>
      <c r="I535">
        <v>-74.892300000000006</v>
      </c>
      <c r="J535">
        <v>5.1988899999999996</v>
      </c>
      <c r="K535" t="s">
        <v>31</v>
      </c>
      <c r="L535" s="1">
        <v>44614</v>
      </c>
      <c r="M535" s="2" t="s">
        <v>828</v>
      </c>
      <c r="N535" t="s">
        <v>20</v>
      </c>
      <c r="O535" t="s">
        <v>21</v>
      </c>
      <c r="P535" t="s">
        <v>22</v>
      </c>
    </row>
    <row r="536" spans="1:16" x14ac:dyDescent="0.25">
      <c r="A536" t="s">
        <v>16</v>
      </c>
      <c r="B536" t="s">
        <v>17</v>
      </c>
      <c r="C536" t="s">
        <v>18</v>
      </c>
      <c r="D536" s="1">
        <v>44614</v>
      </c>
      <c r="E536" s="2" t="s">
        <v>829</v>
      </c>
      <c r="F536" s="3" t="str">
        <f>HYPERLINK("https://maps.google.com/maps?q=5.19887,-74.89121&amp;ll=5.19887,-74.89121&amp;z=14.75z","Cll 7, 7, , , Mariquita, Tolima")</f>
        <v>Cll 7, 7, , , Mariquita, Tolima</v>
      </c>
      <c r="G536">
        <v>0</v>
      </c>
      <c r="H536">
        <v>138231</v>
      </c>
      <c r="I536">
        <v>-74.891210000000001</v>
      </c>
      <c r="J536">
        <v>5.1988700000000003</v>
      </c>
      <c r="K536" t="s">
        <v>41</v>
      </c>
      <c r="L536" s="1">
        <v>44614</v>
      </c>
      <c r="M536" s="2" t="s">
        <v>829</v>
      </c>
      <c r="N536" t="s">
        <v>20</v>
      </c>
      <c r="O536" t="s">
        <v>21</v>
      </c>
      <c r="P536" t="s">
        <v>22</v>
      </c>
    </row>
    <row r="537" spans="1:16" x14ac:dyDescent="0.25">
      <c r="A537" t="s">
        <v>16</v>
      </c>
      <c r="B537" t="s">
        <v>17</v>
      </c>
      <c r="C537" t="s">
        <v>18</v>
      </c>
      <c r="D537" s="1">
        <v>44614</v>
      </c>
      <c r="E537" s="2" t="s">
        <v>830</v>
      </c>
      <c r="F537" s="3" t="str">
        <f>HYPERLINK("https://maps.google.com/maps?q=5.19963,-74.88882&amp;ll=5.19963,-74.88882&amp;z=14.75z","Cll 7, 10, , , Mariquita, Tolima")</f>
        <v>Cll 7, 10, , , Mariquita, Tolima</v>
      </c>
      <c r="G537">
        <v>15</v>
      </c>
      <c r="H537">
        <v>138231</v>
      </c>
      <c r="I537">
        <v>-74.888819999999996</v>
      </c>
      <c r="J537">
        <v>5.19963</v>
      </c>
      <c r="K537" t="s">
        <v>41</v>
      </c>
      <c r="L537" s="1">
        <v>44614</v>
      </c>
      <c r="M537" s="2" t="s">
        <v>830</v>
      </c>
      <c r="N537" t="s">
        <v>20</v>
      </c>
      <c r="O537" t="s">
        <v>21</v>
      </c>
      <c r="P537" t="s">
        <v>22</v>
      </c>
    </row>
    <row r="538" spans="1:16" x14ac:dyDescent="0.25">
      <c r="A538" t="s">
        <v>16</v>
      </c>
      <c r="B538" t="s">
        <v>17</v>
      </c>
      <c r="C538" t="s">
        <v>18</v>
      </c>
      <c r="D538" s="1">
        <v>44614</v>
      </c>
      <c r="E538" s="2" t="s">
        <v>830</v>
      </c>
      <c r="F538" s="3" t="str">
        <f>HYPERLINK("https://maps.google.com/maps?q=5.20031,-74.88675&amp;ll=5.20031,-74.88675&amp;z=14.75z","Cll 7, 13, , , Mariquita, Tolima")</f>
        <v>Cll 7, 13, , , Mariquita, Tolima</v>
      </c>
      <c r="G538">
        <v>15</v>
      </c>
      <c r="H538">
        <v>138232</v>
      </c>
      <c r="I538">
        <v>-74.886750000000006</v>
      </c>
      <c r="J538">
        <v>5.20031</v>
      </c>
      <c r="K538" t="s">
        <v>41</v>
      </c>
      <c r="L538" s="1">
        <v>44614</v>
      </c>
      <c r="M538" s="2" t="s">
        <v>318</v>
      </c>
      <c r="N538" t="s">
        <v>20</v>
      </c>
      <c r="O538" t="s">
        <v>21</v>
      </c>
      <c r="P538" t="s">
        <v>22</v>
      </c>
    </row>
    <row r="539" spans="1:16" x14ac:dyDescent="0.25">
      <c r="A539" t="s">
        <v>16</v>
      </c>
      <c r="B539" t="s">
        <v>17</v>
      </c>
      <c r="C539" t="s">
        <v>18</v>
      </c>
      <c r="D539" s="1">
        <v>44614</v>
      </c>
      <c r="E539" s="2" t="s">
        <v>318</v>
      </c>
      <c r="F539" s="3" t="str">
        <f>HYPERLINK("https://maps.google.com/maps?q=5.19886,-74.88232&amp;ll=5.19886,-74.88232&amp;z=14.75z","Dg 7, , Pantano Grande, Mariquita, Tolima")</f>
        <v>Dg 7, , Pantano Grande, Mariquita, Tolima</v>
      </c>
      <c r="G539">
        <v>41</v>
      </c>
      <c r="H539">
        <v>138232</v>
      </c>
      <c r="I539">
        <v>-74.882320000000007</v>
      </c>
      <c r="J539">
        <v>5.1988599999999998</v>
      </c>
      <c r="K539" t="s">
        <v>41</v>
      </c>
      <c r="L539" s="1">
        <v>44614</v>
      </c>
      <c r="M539" s="2" t="s">
        <v>831</v>
      </c>
      <c r="N539" t="s">
        <v>20</v>
      </c>
      <c r="O539" t="s">
        <v>21</v>
      </c>
      <c r="P539" t="s">
        <v>22</v>
      </c>
    </row>
    <row r="540" spans="1:16" x14ac:dyDescent="0.25">
      <c r="A540" t="s">
        <v>16</v>
      </c>
      <c r="B540" t="s">
        <v>17</v>
      </c>
      <c r="C540" t="s">
        <v>18</v>
      </c>
      <c r="D540" s="1">
        <v>44614</v>
      </c>
      <c r="E540" s="2" t="s">
        <v>831</v>
      </c>
      <c r="F540" s="3" t="str">
        <f>HYPERLINK("https://maps.google.com/maps?q=5.19643,-74.87643&amp;ll=5.19643,-74.87643&amp;z=14.75z","Dg 7, , Pantano Grande, Mariquita, Tolima")</f>
        <v>Dg 7, , Pantano Grande, Mariquita, Tolima</v>
      </c>
      <c r="G540">
        <v>47</v>
      </c>
      <c r="H540">
        <v>138233</v>
      </c>
      <c r="I540">
        <v>-74.876429999999999</v>
      </c>
      <c r="J540">
        <v>5.1964300000000003</v>
      </c>
      <c r="K540" t="s">
        <v>41</v>
      </c>
      <c r="L540" s="1">
        <v>44614</v>
      </c>
      <c r="M540" s="2" t="s">
        <v>831</v>
      </c>
      <c r="N540" t="s">
        <v>20</v>
      </c>
      <c r="O540" t="s">
        <v>21</v>
      </c>
      <c r="P540" t="s">
        <v>22</v>
      </c>
    </row>
    <row r="541" spans="1:16" x14ac:dyDescent="0.25">
      <c r="A541" t="s">
        <v>16</v>
      </c>
      <c r="B541" t="s">
        <v>17</v>
      </c>
      <c r="C541" t="s">
        <v>18</v>
      </c>
      <c r="D541" s="1">
        <v>44614</v>
      </c>
      <c r="E541" s="2" t="s">
        <v>460</v>
      </c>
      <c r="F541" s="3" t="str">
        <f>HYPERLINK("https://maps.google.com/maps?q=5.19387,-74.87003&amp;ll=5.19387,-74.87003&amp;z=14.75z","Vía Honda - Manizales, Km 12.59 Honda - Mariquita, , Pantano Grande, Mariquita, Tolima")</f>
        <v>Vía Honda - Manizales, Km 12.59 Honda - Mariquita, , Pantano Grande, Mariquita, Tolima</v>
      </c>
      <c r="G541">
        <v>50</v>
      </c>
      <c r="H541">
        <v>138234</v>
      </c>
      <c r="I541">
        <v>-74.87003</v>
      </c>
      <c r="J541">
        <v>5.1938700000000004</v>
      </c>
      <c r="K541" t="s">
        <v>41</v>
      </c>
      <c r="L541" s="1">
        <v>44614</v>
      </c>
      <c r="M541" s="2" t="s">
        <v>460</v>
      </c>
      <c r="N541" t="s">
        <v>20</v>
      </c>
      <c r="O541" t="s">
        <v>21</v>
      </c>
      <c r="P541" t="s">
        <v>22</v>
      </c>
    </row>
    <row r="542" spans="1:16" x14ac:dyDescent="0.25">
      <c r="A542" t="s">
        <v>16</v>
      </c>
      <c r="B542" t="s">
        <v>17</v>
      </c>
      <c r="C542" t="s">
        <v>18</v>
      </c>
      <c r="D542" s="1">
        <v>44614</v>
      </c>
      <c r="E542" s="2" t="s">
        <v>743</v>
      </c>
      <c r="F542" s="3" t="str">
        <f>HYPERLINK("https://maps.google.com/maps?q=5.19248,-74.86414&amp;ll=5.19248,-74.86414&amp;z=14.75z","Vía Honda - Manizales, Km 12.03 Honda - Mariquita, , El Caucho, Mariquita, Tolima")</f>
        <v>Vía Honda - Manizales, Km 12.03 Honda - Mariquita, , El Caucho, Mariquita, Tolima</v>
      </c>
      <c r="G542">
        <v>40</v>
      </c>
      <c r="H542">
        <v>138234</v>
      </c>
      <c r="I542">
        <v>-74.864140000000006</v>
      </c>
      <c r="J542">
        <v>5.1924799999999998</v>
      </c>
      <c r="K542" t="s">
        <v>41</v>
      </c>
      <c r="L542" s="1">
        <v>44614</v>
      </c>
      <c r="M542" s="2" t="s">
        <v>743</v>
      </c>
      <c r="N542" t="s">
        <v>20</v>
      </c>
      <c r="O542" t="s">
        <v>21</v>
      </c>
      <c r="P542" t="s">
        <v>22</v>
      </c>
    </row>
    <row r="543" spans="1:16" x14ac:dyDescent="0.25">
      <c r="A543" t="s">
        <v>16</v>
      </c>
      <c r="B543" t="s">
        <v>17</v>
      </c>
      <c r="C543" t="s">
        <v>18</v>
      </c>
      <c r="D543" s="1">
        <v>44614</v>
      </c>
      <c r="E543" s="2" t="s">
        <v>744</v>
      </c>
      <c r="F543" s="3" t="str">
        <f>HYPERLINK("https://maps.google.com/maps?q=5.19218,-74.85759&amp;ll=5.19218,-74.85759&amp;z=14.75z","Vía Honda - Manizales, Km 11.29 Honda - Mariquita, , Pantano Grande, Mariquita, Tolima")</f>
        <v>Vía Honda - Manizales, Km 11.29 Honda - Mariquita, , Pantano Grande, Mariquita, Tolima</v>
      </c>
      <c r="G543">
        <v>48</v>
      </c>
      <c r="H543">
        <v>138235</v>
      </c>
      <c r="I543">
        <v>-74.857590000000002</v>
      </c>
      <c r="J543">
        <v>5.1921799999999996</v>
      </c>
      <c r="K543" t="s">
        <v>41</v>
      </c>
      <c r="L543" s="1">
        <v>44614</v>
      </c>
      <c r="M543" s="2" t="s">
        <v>744</v>
      </c>
      <c r="N543" t="s">
        <v>20</v>
      </c>
      <c r="O543" t="s">
        <v>21</v>
      </c>
      <c r="P543" t="s">
        <v>22</v>
      </c>
    </row>
    <row r="544" spans="1:16" x14ac:dyDescent="0.25">
      <c r="A544" t="s">
        <v>16</v>
      </c>
      <c r="B544" t="s">
        <v>17</v>
      </c>
      <c r="C544" t="s">
        <v>18</v>
      </c>
      <c r="D544" s="1">
        <v>44614</v>
      </c>
      <c r="E544" s="2" t="s">
        <v>461</v>
      </c>
      <c r="F544" s="3" t="str">
        <f>HYPERLINK("https://maps.google.com/maps?q=5.19338,-74.85035&amp;ll=5.19338,-74.85035&amp;z=14.75z","Vía Honda - Manizales, Km 10.59 Honda - Mariquita, , Pantano Grande, Mariquita, Tolima")</f>
        <v>Vía Honda - Manizales, Km 10.59 Honda - Mariquita, , Pantano Grande, Mariquita, Tolima</v>
      </c>
      <c r="G544">
        <v>53</v>
      </c>
      <c r="H544">
        <v>138236</v>
      </c>
      <c r="I544">
        <v>-74.850350000000006</v>
      </c>
      <c r="J544">
        <v>5.1933800000000003</v>
      </c>
      <c r="K544" t="s">
        <v>41</v>
      </c>
      <c r="L544" s="1">
        <v>44614</v>
      </c>
      <c r="M544" s="2" t="s">
        <v>832</v>
      </c>
      <c r="N544" t="s">
        <v>20</v>
      </c>
      <c r="O544" t="s">
        <v>21</v>
      </c>
      <c r="P544" t="s">
        <v>22</v>
      </c>
    </row>
    <row r="545" spans="1:16" x14ac:dyDescent="0.25">
      <c r="A545" t="s">
        <v>16</v>
      </c>
      <c r="B545" t="s">
        <v>17</v>
      </c>
      <c r="C545" t="s">
        <v>18</v>
      </c>
      <c r="D545" s="1">
        <v>44614</v>
      </c>
      <c r="E545" s="2" t="s">
        <v>832</v>
      </c>
      <c r="F545" s="3" t="str">
        <f>HYPERLINK("https://maps.google.com/maps?q=5.19501,-74.8434&amp;ll=5.19501,-74.8434&amp;z=14.75z","Vía Honda - Manizales, Km 9.77 Honda - Mariquita, , Pantano Grande, Mariquita, Tolima")</f>
        <v>Vía Honda - Manizales, Km 9.77 Honda - Mariquita, , Pantano Grande, Mariquita, Tolima</v>
      </c>
      <c r="G545">
        <v>49</v>
      </c>
      <c r="H545">
        <v>138237</v>
      </c>
      <c r="I545">
        <v>-74.843400000000003</v>
      </c>
      <c r="J545">
        <v>5.1950099999999999</v>
      </c>
      <c r="K545" t="s">
        <v>41</v>
      </c>
      <c r="L545" s="1">
        <v>44614</v>
      </c>
      <c r="M545" s="2" t="s">
        <v>832</v>
      </c>
      <c r="N545" t="s">
        <v>20</v>
      </c>
      <c r="O545" t="s">
        <v>21</v>
      </c>
      <c r="P545" t="s">
        <v>22</v>
      </c>
    </row>
    <row r="546" spans="1:16" x14ac:dyDescent="0.25">
      <c r="A546" t="s">
        <v>16</v>
      </c>
      <c r="B546" t="s">
        <v>17</v>
      </c>
      <c r="C546" t="s">
        <v>18</v>
      </c>
      <c r="D546" s="1">
        <v>44614</v>
      </c>
      <c r="E546" s="2" t="s">
        <v>833</v>
      </c>
      <c r="F546" s="3" t="str">
        <f>HYPERLINK("https://maps.google.com/maps?q=5.19662,-74.83656&amp;ll=5.19662,-74.83656&amp;z=14.75z","Vía Honda - Manizales, Km 9.02 Honda - Mariquita, , Pantano Grande, Mariquita, Tolima")</f>
        <v>Vía Honda - Manizales, Km 9.02 Honda - Mariquita, , Pantano Grande, Mariquita, Tolima</v>
      </c>
      <c r="G546">
        <v>48</v>
      </c>
      <c r="H546">
        <v>138237</v>
      </c>
      <c r="I546">
        <v>-74.836560000000006</v>
      </c>
      <c r="J546">
        <v>5.1966200000000002</v>
      </c>
      <c r="K546" t="s">
        <v>41</v>
      </c>
      <c r="L546" s="1">
        <v>44614</v>
      </c>
      <c r="M546" s="2" t="s">
        <v>833</v>
      </c>
      <c r="N546" t="s">
        <v>20</v>
      </c>
      <c r="O546" t="s">
        <v>21</v>
      </c>
      <c r="P546" t="s">
        <v>22</v>
      </c>
    </row>
    <row r="547" spans="1:16" x14ac:dyDescent="0.25">
      <c r="A547" t="s">
        <v>16</v>
      </c>
      <c r="B547" t="s">
        <v>17</v>
      </c>
      <c r="C547" t="s">
        <v>18</v>
      </c>
      <c r="D547" s="1">
        <v>44614</v>
      </c>
      <c r="E547" s="2" t="s">
        <v>462</v>
      </c>
      <c r="F547" s="3" t="str">
        <f>HYPERLINK("https://maps.google.com/maps?q=5.19843,-74.8297&amp;ll=5.19843,-74.8297&amp;z=14.75z","Vía Honda - Manizales, Km 8.18 Honda - Mariquita, , El Caucho, Mariquita, Tolima")</f>
        <v>Vía Honda - Manizales, Km 8.18 Honda - Mariquita, , El Caucho, Mariquita, Tolima</v>
      </c>
      <c r="G547">
        <v>51</v>
      </c>
      <c r="H547">
        <v>138238</v>
      </c>
      <c r="I547">
        <v>-74.829700000000003</v>
      </c>
      <c r="J547">
        <v>5.1984300000000001</v>
      </c>
      <c r="K547" t="s">
        <v>41</v>
      </c>
      <c r="L547" s="1">
        <v>44614</v>
      </c>
      <c r="M547" s="2" t="s">
        <v>462</v>
      </c>
      <c r="N547" t="s">
        <v>20</v>
      </c>
      <c r="O547" t="s">
        <v>21</v>
      </c>
      <c r="P547" t="s">
        <v>22</v>
      </c>
    </row>
    <row r="548" spans="1:16" x14ac:dyDescent="0.25">
      <c r="A548" t="s">
        <v>16</v>
      </c>
      <c r="B548" t="s">
        <v>17</v>
      </c>
      <c r="C548" t="s">
        <v>18</v>
      </c>
      <c r="D548" s="1">
        <v>44614</v>
      </c>
      <c r="E548" s="2" t="s">
        <v>834</v>
      </c>
      <c r="F548" s="3" t="str">
        <f>HYPERLINK("https://maps.google.com/maps?q=5.20054,-74.82273&amp;ll=5.20054,-74.82273&amp;z=14.75z","Vía Honda - Manizales, Km 7.41 Honda - Mariquita, , Padilla, Honda, Tolima")</f>
        <v>Vía Honda - Manizales, Km 7.41 Honda - Mariquita, , Padilla, Honda, Tolima</v>
      </c>
      <c r="G548">
        <v>48</v>
      </c>
      <c r="H548">
        <v>138239</v>
      </c>
      <c r="I548">
        <v>-74.822730000000007</v>
      </c>
      <c r="J548">
        <v>5.2005400000000002</v>
      </c>
      <c r="K548" t="s">
        <v>24</v>
      </c>
      <c r="L548" s="1">
        <v>44614</v>
      </c>
      <c r="M548" s="2" t="s">
        <v>834</v>
      </c>
      <c r="N548" t="s">
        <v>20</v>
      </c>
      <c r="O548" t="s">
        <v>21</v>
      </c>
      <c r="P548" t="s">
        <v>22</v>
      </c>
    </row>
    <row r="549" spans="1:16" x14ac:dyDescent="0.25">
      <c r="A549" t="s">
        <v>16</v>
      </c>
      <c r="B549" t="s">
        <v>17</v>
      </c>
      <c r="C549" t="s">
        <v>18</v>
      </c>
      <c r="D549" s="1">
        <v>44614</v>
      </c>
      <c r="E549" s="2" t="s">
        <v>835</v>
      </c>
      <c r="F549" s="3" t="str">
        <f>HYPERLINK("https://maps.google.com/maps?q=5.20136,-74.82057&amp;ll=5.20136,-74.82057&amp;z=14.75z","Vía Honda - Manizales, Km 7.05 Honda - Mariquita, , Padilla, Honda, Tolima")</f>
        <v>Vía Honda - Manizales, Km 7.05 Honda - Mariquita, , Padilla, Honda, Tolima</v>
      </c>
      <c r="G549">
        <v>0</v>
      </c>
      <c r="H549">
        <v>138239</v>
      </c>
      <c r="I549">
        <v>-74.820570000000004</v>
      </c>
      <c r="J549">
        <v>5.2013600000000002</v>
      </c>
      <c r="K549" t="s">
        <v>24</v>
      </c>
      <c r="L549" s="1">
        <v>44614</v>
      </c>
      <c r="M549" s="2" t="s">
        <v>835</v>
      </c>
      <c r="N549" t="s">
        <v>20</v>
      </c>
      <c r="O549" t="s">
        <v>21</v>
      </c>
      <c r="P549" t="s">
        <v>22</v>
      </c>
    </row>
    <row r="550" spans="1:16" x14ac:dyDescent="0.25">
      <c r="A550" t="s">
        <v>16</v>
      </c>
      <c r="B550" t="s">
        <v>17</v>
      </c>
      <c r="C550" t="s">
        <v>18</v>
      </c>
      <c r="D550" s="1">
        <v>44614</v>
      </c>
      <c r="E550" s="2" t="s">
        <v>836</v>
      </c>
      <c r="F550" s="3" t="str">
        <f>HYPERLINK("https://maps.google.com/maps?q=5.20136,-74.82058&amp;ll=5.20136,-74.82058&amp;z=14.75z","Vía Honda - Manizales, Km 7.05 Honda - Mariquita, , Padilla, Honda, Tolima")</f>
        <v>Vía Honda - Manizales, Km 7.05 Honda - Mariquita, , Padilla, Honda, Tolima</v>
      </c>
      <c r="G550">
        <v>0</v>
      </c>
      <c r="H550">
        <v>138239</v>
      </c>
      <c r="I550">
        <v>-74.820580000000007</v>
      </c>
      <c r="J550">
        <v>5.2013600000000002</v>
      </c>
      <c r="K550" t="s">
        <v>24</v>
      </c>
      <c r="L550" s="1">
        <v>44614</v>
      </c>
      <c r="M550" s="2" t="s">
        <v>836</v>
      </c>
      <c r="N550" t="s">
        <v>20</v>
      </c>
      <c r="O550" t="s">
        <v>21</v>
      </c>
      <c r="P550" t="s">
        <v>22</v>
      </c>
    </row>
    <row r="551" spans="1:16" x14ac:dyDescent="0.25">
      <c r="A551" t="s">
        <v>16</v>
      </c>
      <c r="B551" t="s">
        <v>17</v>
      </c>
      <c r="C551" t="s">
        <v>18</v>
      </c>
      <c r="D551" s="1">
        <v>44614</v>
      </c>
      <c r="E551" s="2" t="s">
        <v>837</v>
      </c>
      <c r="F551" s="3" t="str">
        <f>HYPERLINK("https://maps.google.com/maps?q=5.20136,-74.82058&amp;ll=5.20136,-74.82058&amp;z=14.75z","Vía Honda - Manizales, Km 7.05 Honda - Mariquita, , Padilla, Honda, Tolima")</f>
        <v>Vía Honda - Manizales, Km 7.05 Honda - Mariquita, , Padilla, Honda, Tolima</v>
      </c>
      <c r="G551">
        <v>0</v>
      </c>
      <c r="H551">
        <v>138239</v>
      </c>
      <c r="I551">
        <v>-74.820580000000007</v>
      </c>
      <c r="J551">
        <v>5.2013600000000002</v>
      </c>
      <c r="K551" t="s">
        <v>24</v>
      </c>
      <c r="L551" s="1">
        <v>44614</v>
      </c>
      <c r="M551" s="2" t="s">
        <v>837</v>
      </c>
      <c r="N551" t="s">
        <v>20</v>
      </c>
      <c r="O551" t="s">
        <v>21</v>
      </c>
      <c r="P551" t="s">
        <v>22</v>
      </c>
    </row>
    <row r="552" spans="1:16" x14ac:dyDescent="0.25">
      <c r="A552" t="s">
        <v>16</v>
      </c>
      <c r="B552" t="s">
        <v>94</v>
      </c>
      <c r="C552" t="s">
        <v>18</v>
      </c>
      <c r="D552" s="1">
        <v>44614</v>
      </c>
      <c r="E552" s="2" t="s">
        <v>838</v>
      </c>
      <c r="F552" s="3" t="str">
        <f>HYPERLINK("https://maps.google.com/maps?q=5.20136,-74.82058&amp;ll=5.20136,-74.82058&amp;z=14.75z","Vía Honda - Manizales, Km 7.05 Honda - Mariquita, , Padilla, Honda, Tolima")</f>
        <v>Vía Honda - Manizales, Km 7.05 Honda - Mariquita, , Padilla, Honda, Tolima</v>
      </c>
      <c r="G552">
        <v>0</v>
      </c>
      <c r="H552">
        <v>138239</v>
      </c>
      <c r="I552">
        <v>-74.820580000000007</v>
      </c>
      <c r="J552">
        <v>5.2013600000000002</v>
      </c>
      <c r="K552" t="s">
        <v>24</v>
      </c>
      <c r="L552" s="1">
        <v>44614</v>
      </c>
      <c r="M552" s="2" t="s">
        <v>838</v>
      </c>
      <c r="N552" t="s">
        <v>20</v>
      </c>
      <c r="O552" t="s">
        <v>21</v>
      </c>
      <c r="P552" t="s">
        <v>22</v>
      </c>
    </row>
    <row r="553" spans="1:16" x14ac:dyDescent="0.25">
      <c r="A553" t="s">
        <v>16</v>
      </c>
      <c r="B553" t="s">
        <v>94</v>
      </c>
      <c r="C553" t="s">
        <v>18</v>
      </c>
      <c r="D553" s="1">
        <v>44614</v>
      </c>
      <c r="E553" s="2" t="s">
        <v>838</v>
      </c>
      <c r="F553" s="3" t="str">
        <f>HYPERLINK("https://maps.google.com/maps?q=5.2015,-74.82029&amp;ll=5.2015,-74.82029&amp;z=14.75z","Vía Honda - Manizales, Km 7.05 Honda - Mariquita, , Padilla, Honda, Tolima")</f>
        <v>Vía Honda - Manizales, Km 7.05 Honda - Mariquita, , Padilla, Honda, Tolima</v>
      </c>
      <c r="G553">
        <v>0</v>
      </c>
      <c r="H553">
        <v>138239</v>
      </c>
      <c r="I553">
        <v>-74.82029</v>
      </c>
      <c r="J553">
        <v>5.2015000000000002</v>
      </c>
      <c r="K553" t="s">
        <v>41</v>
      </c>
      <c r="L553" s="1">
        <v>44614</v>
      </c>
      <c r="M553" s="2" t="s">
        <v>839</v>
      </c>
      <c r="N553" t="s">
        <v>20</v>
      </c>
      <c r="O553" t="s">
        <v>21</v>
      </c>
      <c r="P553" t="s">
        <v>22</v>
      </c>
    </row>
    <row r="554" spans="1:16" x14ac:dyDescent="0.25">
      <c r="A554" t="s">
        <v>16</v>
      </c>
      <c r="B554" t="s">
        <v>94</v>
      </c>
      <c r="C554" t="s">
        <v>18</v>
      </c>
      <c r="D554" s="1">
        <v>44614</v>
      </c>
      <c r="E554" s="2" t="s">
        <v>839</v>
      </c>
      <c r="F554" s="3" t="str">
        <f>HYPERLINK("https://maps.google.com/maps?q=5.20293,-74.81708&amp;ll=5.20293,-74.81708&amp;z=14.75z","Vía Honda - Manizales, Km 6.68 Honda - Mariquita, , Padilla, Honda, Tolima")</f>
        <v>Vía Honda - Manizales, Km 6.68 Honda - Mariquita, , Padilla, Honda, Tolima</v>
      </c>
      <c r="G554">
        <v>0</v>
      </c>
      <c r="H554">
        <v>138239</v>
      </c>
      <c r="I554">
        <v>-74.817080000000004</v>
      </c>
      <c r="J554">
        <v>5.2029300000000003</v>
      </c>
      <c r="K554" t="s">
        <v>41</v>
      </c>
      <c r="L554" s="1">
        <v>44614</v>
      </c>
      <c r="M554" s="2" t="s">
        <v>840</v>
      </c>
      <c r="N554" t="s">
        <v>20</v>
      </c>
      <c r="O554" t="s">
        <v>21</v>
      </c>
      <c r="P554" t="s">
        <v>22</v>
      </c>
    </row>
    <row r="555" spans="1:16" x14ac:dyDescent="0.25">
      <c r="A555" t="s">
        <v>16</v>
      </c>
      <c r="B555" t="s">
        <v>94</v>
      </c>
      <c r="C555" t="s">
        <v>18</v>
      </c>
      <c r="D555" s="1">
        <v>44614</v>
      </c>
      <c r="E555" s="2" t="s">
        <v>840</v>
      </c>
      <c r="F555" s="3" t="str">
        <f>HYPERLINK("https://maps.google.com/maps?q=5.20294,-74.81703&amp;ll=5.20294,-74.81703&amp;z=14.75z","Vía Honda - Manizales, Km 6.68 Honda - Mariquita, , Padilla, Honda, Tolima")</f>
        <v>Vía Honda - Manizales, Km 6.68 Honda - Mariquita, , Padilla, Honda, Tolima</v>
      </c>
      <c r="G555">
        <v>0</v>
      </c>
      <c r="H555">
        <v>138240</v>
      </c>
      <c r="I555">
        <v>-74.817030000000003</v>
      </c>
      <c r="J555">
        <v>5.2029399999999999</v>
      </c>
      <c r="K555" t="s">
        <v>33</v>
      </c>
      <c r="L555" s="1">
        <v>44614</v>
      </c>
      <c r="M555" s="2" t="s">
        <v>840</v>
      </c>
      <c r="N555" t="s">
        <v>20</v>
      </c>
      <c r="O555" t="s">
        <v>21</v>
      </c>
      <c r="P555" t="s">
        <v>22</v>
      </c>
    </row>
    <row r="556" spans="1:16" x14ac:dyDescent="0.25">
      <c r="A556" t="s">
        <v>16</v>
      </c>
      <c r="B556" t="s">
        <v>94</v>
      </c>
      <c r="C556" t="s">
        <v>18</v>
      </c>
      <c r="D556" s="1">
        <v>44614</v>
      </c>
      <c r="E556" s="2" t="s">
        <v>841</v>
      </c>
      <c r="F556" s="3" t="str">
        <f>HYPERLINK("https://maps.google.com/maps?q=5.20296,-74.81704&amp;ll=5.20296,-74.81704&amp;z=14.75z","Vía Honda - Manizales, Km 6.68 Honda - Mariquita, , Padilla, Honda, Tolima")</f>
        <v>Vía Honda - Manizales, Km 6.68 Honda - Mariquita, , Padilla, Honda, Tolima</v>
      </c>
      <c r="G556">
        <v>0</v>
      </c>
      <c r="H556">
        <v>138240</v>
      </c>
      <c r="I556">
        <v>-74.817040000000006</v>
      </c>
      <c r="J556">
        <v>5.20296</v>
      </c>
      <c r="K556" t="s">
        <v>33</v>
      </c>
      <c r="L556" s="1">
        <v>44614</v>
      </c>
      <c r="M556" s="2" t="s">
        <v>841</v>
      </c>
      <c r="N556" t="s">
        <v>20</v>
      </c>
      <c r="O556" t="s">
        <v>21</v>
      </c>
      <c r="P556" t="s">
        <v>22</v>
      </c>
    </row>
    <row r="557" spans="1:16" x14ac:dyDescent="0.25">
      <c r="A557" t="s">
        <v>16</v>
      </c>
      <c r="B557" t="s">
        <v>17</v>
      </c>
      <c r="C557" t="s">
        <v>18</v>
      </c>
      <c r="D557" s="1">
        <v>44614</v>
      </c>
      <c r="E557" s="2" t="s">
        <v>319</v>
      </c>
      <c r="F557" s="3" t="str">
        <f>HYPERLINK("https://maps.google.com/maps?q=5.20396,-74.81464&amp;ll=5.20396,-74.81464&amp;z=14.75z","Vía Honda - Manizales, Km 6.39 Honda - Mariquita, , Padilla, Honda, Tolima")</f>
        <v>Vía Honda - Manizales, Km 6.39 Honda - Mariquita, , Padilla, Honda, Tolima</v>
      </c>
      <c r="G557">
        <v>33</v>
      </c>
      <c r="H557">
        <v>138240</v>
      </c>
      <c r="I557">
        <v>-74.814639999999997</v>
      </c>
      <c r="J557">
        <v>5.2039600000000004</v>
      </c>
      <c r="K557" t="s">
        <v>41</v>
      </c>
      <c r="L557" s="1">
        <v>44614</v>
      </c>
      <c r="M557" s="2" t="s">
        <v>319</v>
      </c>
      <c r="N557" t="s">
        <v>20</v>
      </c>
      <c r="O557" t="s">
        <v>21</v>
      </c>
      <c r="P557" t="s">
        <v>22</v>
      </c>
    </row>
    <row r="558" spans="1:16" x14ac:dyDescent="0.25">
      <c r="A558" t="s">
        <v>16</v>
      </c>
      <c r="B558" t="s">
        <v>17</v>
      </c>
      <c r="C558" t="s">
        <v>18</v>
      </c>
      <c r="D558" s="1">
        <v>44614</v>
      </c>
      <c r="E558" s="2" t="s">
        <v>781</v>
      </c>
      <c r="F558" s="3" t="str">
        <f>HYPERLINK("https://maps.google.com/maps?q=5.20523,-74.81202&amp;ll=5.20523,-74.81202&amp;z=14.75z","Vía Honda - Manizales, Km 6.13 Honda - Mariquita, , Padilla, Honda, Tolima")</f>
        <v>Vía Honda - Manizales, Km 6.13 Honda - Mariquita, , Padilla, Honda, Tolima</v>
      </c>
      <c r="G558">
        <v>0</v>
      </c>
      <c r="H558">
        <v>138240</v>
      </c>
      <c r="I558">
        <v>-74.812020000000004</v>
      </c>
      <c r="J558">
        <v>5.2052300000000002</v>
      </c>
      <c r="K558" t="s">
        <v>41</v>
      </c>
      <c r="L558" s="1">
        <v>44614</v>
      </c>
      <c r="M558" s="2" t="s">
        <v>464</v>
      </c>
      <c r="N558" t="s">
        <v>20</v>
      </c>
      <c r="O558" t="s">
        <v>21</v>
      </c>
      <c r="P558" t="s">
        <v>22</v>
      </c>
    </row>
    <row r="559" spans="1:16" x14ac:dyDescent="0.25">
      <c r="A559" t="s">
        <v>16</v>
      </c>
      <c r="B559" t="s">
        <v>17</v>
      </c>
      <c r="C559" t="s">
        <v>18</v>
      </c>
      <c r="D559" s="1">
        <v>44614</v>
      </c>
      <c r="E559" s="2" t="s">
        <v>463</v>
      </c>
      <c r="F559" s="3" t="str">
        <f>HYPERLINK("https://maps.google.com/maps?q=5.20645,-74.81043&amp;ll=5.20645,-74.81043&amp;z=14.75z","Vía Honda - Manizales, Km 5.86 Honda - Mariquita, , Padilla, Honda, Tolima")</f>
        <v>Vía Honda - Manizales, Km 5.86 Honda - Mariquita, , Padilla, Honda, Tolima</v>
      </c>
      <c r="G559">
        <v>0</v>
      </c>
      <c r="H559">
        <v>138240</v>
      </c>
      <c r="I559">
        <v>-74.810429999999997</v>
      </c>
      <c r="J559">
        <v>5.2064500000000002</v>
      </c>
      <c r="K559" t="s">
        <v>24</v>
      </c>
      <c r="L559" s="1">
        <v>44614</v>
      </c>
      <c r="M559" s="2" t="s">
        <v>464</v>
      </c>
      <c r="N559" t="s">
        <v>20</v>
      </c>
      <c r="O559" t="s">
        <v>21</v>
      </c>
      <c r="P559" t="s">
        <v>22</v>
      </c>
    </row>
    <row r="560" spans="1:16" x14ac:dyDescent="0.25">
      <c r="A560" t="s">
        <v>16</v>
      </c>
      <c r="B560" t="s">
        <v>17</v>
      </c>
      <c r="C560" t="s">
        <v>18</v>
      </c>
      <c r="D560" s="1">
        <v>44614</v>
      </c>
      <c r="E560" s="2" t="s">
        <v>464</v>
      </c>
      <c r="F560" s="3" t="str">
        <f>HYPERLINK("https://maps.google.com/maps?q=5.20731,-74.80957&amp;ll=5.20731,-74.80957&amp;z=14.75z","Vía Honda - Manizales, Km 5.77 Honda - Mariquita, , Padilla, Honda, Tolima")</f>
        <v>Vía Honda - Manizales, Km 5.77 Honda - Mariquita, , Padilla, Honda, Tolima</v>
      </c>
      <c r="G560">
        <v>7</v>
      </c>
      <c r="H560">
        <v>138240</v>
      </c>
      <c r="I560">
        <v>-74.809569999999994</v>
      </c>
      <c r="J560">
        <v>5.2073099999999997</v>
      </c>
      <c r="K560" t="s">
        <v>24</v>
      </c>
      <c r="L560" s="1">
        <v>44614</v>
      </c>
      <c r="M560" s="2" t="s">
        <v>464</v>
      </c>
      <c r="N560" t="s">
        <v>20</v>
      </c>
      <c r="O560" t="s">
        <v>21</v>
      </c>
      <c r="P560" t="s">
        <v>22</v>
      </c>
    </row>
    <row r="561" spans="1:16" x14ac:dyDescent="0.25">
      <c r="A561" t="s">
        <v>16</v>
      </c>
      <c r="B561" t="s">
        <v>17</v>
      </c>
      <c r="C561" t="s">
        <v>18</v>
      </c>
      <c r="D561" s="1">
        <v>44614</v>
      </c>
      <c r="E561" s="2" t="s">
        <v>465</v>
      </c>
      <c r="F561" s="3" t="str">
        <f>HYPERLINK("https://maps.google.com/maps?q=5.20842,-74.80874&amp;ll=5.20842,-74.80874&amp;z=14.75z","Vía Honda - Manizales, Km 5.61 Honda - Mariquita, , Padilla, Honda, Tolima")</f>
        <v>Vía Honda - Manizales, Km 5.61 Honda - Mariquita, , Padilla, Honda, Tolima</v>
      </c>
      <c r="G561">
        <v>22</v>
      </c>
      <c r="H561">
        <v>138241</v>
      </c>
      <c r="I561">
        <v>-74.80874</v>
      </c>
      <c r="J561">
        <v>5.2084200000000003</v>
      </c>
      <c r="K561" t="s">
        <v>24</v>
      </c>
      <c r="L561" s="1">
        <v>44614</v>
      </c>
      <c r="M561" s="2" t="s">
        <v>465</v>
      </c>
      <c r="N561" t="s">
        <v>20</v>
      </c>
      <c r="O561" t="s">
        <v>21</v>
      </c>
      <c r="P561" t="s">
        <v>22</v>
      </c>
    </row>
    <row r="562" spans="1:16" x14ac:dyDescent="0.25">
      <c r="A562" t="s">
        <v>16</v>
      </c>
      <c r="B562" t="s">
        <v>17</v>
      </c>
      <c r="C562" t="s">
        <v>18</v>
      </c>
      <c r="D562" s="1">
        <v>44614</v>
      </c>
      <c r="E562" s="2" t="s">
        <v>466</v>
      </c>
      <c r="F562" s="3" t="str">
        <f>HYPERLINK("https://maps.google.com/maps?q=5.2097,-74.80799&amp;ll=5.2097,-74.80799&amp;z=14.75z","Vía Honda - Manizales, Km 5.37 Honda - Mariquita, , Padilla, Honda, Tolima")</f>
        <v>Vía Honda - Manizales, Km 5.37 Honda - Mariquita, , Padilla, Honda, Tolima</v>
      </c>
      <c r="G562">
        <v>0</v>
      </c>
      <c r="H562">
        <v>138241</v>
      </c>
      <c r="I562">
        <v>-74.807990000000004</v>
      </c>
      <c r="J562">
        <v>5.2096999999999998</v>
      </c>
      <c r="K562" t="s">
        <v>24</v>
      </c>
      <c r="L562" s="1">
        <v>44614</v>
      </c>
      <c r="M562" s="2" t="s">
        <v>466</v>
      </c>
      <c r="N562" t="s">
        <v>20</v>
      </c>
      <c r="O562" t="s">
        <v>21</v>
      </c>
      <c r="P562" t="s">
        <v>22</v>
      </c>
    </row>
    <row r="563" spans="1:16" x14ac:dyDescent="0.25">
      <c r="A563" t="s">
        <v>16</v>
      </c>
      <c r="B563" t="s">
        <v>17</v>
      </c>
      <c r="C563" t="s">
        <v>27</v>
      </c>
      <c r="D563" s="1">
        <v>44614</v>
      </c>
      <c r="E563" s="2" t="s">
        <v>842</v>
      </c>
      <c r="F563" s="3" t="str">
        <f>HYPERLINK("https://maps.google.com/maps?q=5.2097,-74.80799&amp;ll=5.2097,-74.80799&amp;z=14.75z","Vía Honda - Manizales, Km 5.37 Honda - Mariquita, , Padilla, Honda, Tolima")</f>
        <v>Vía Honda - Manizales, Km 5.37 Honda - Mariquita, , Padilla, Honda, Tolima</v>
      </c>
      <c r="G563">
        <v>0</v>
      </c>
      <c r="H563">
        <v>138241</v>
      </c>
      <c r="I563">
        <v>-74.807990000000004</v>
      </c>
      <c r="J563">
        <v>5.2096999999999998</v>
      </c>
      <c r="K563" t="s">
        <v>23</v>
      </c>
      <c r="L563" s="1">
        <v>44614</v>
      </c>
      <c r="M563" s="2" t="s">
        <v>467</v>
      </c>
      <c r="N563" t="s">
        <v>20</v>
      </c>
      <c r="O563" t="s">
        <v>21</v>
      </c>
      <c r="P563" t="s">
        <v>28</v>
      </c>
    </row>
    <row r="564" spans="1:16" x14ac:dyDescent="0.25">
      <c r="A564" t="s">
        <v>16</v>
      </c>
      <c r="B564" t="s">
        <v>17</v>
      </c>
      <c r="C564" t="s">
        <v>18</v>
      </c>
      <c r="D564" s="1">
        <v>44614</v>
      </c>
      <c r="E564" s="2" t="s">
        <v>467</v>
      </c>
      <c r="F564" s="3" t="str">
        <f>HYPERLINK("https://maps.google.com/maps?q=5.2105,-74.80749&amp;ll=5.2105,-74.80749&amp;z=14.75z","Vía Honda - Manizales, Km 5.28 Honda - Mariquita, , Padilla, Honda, Tolima")</f>
        <v>Vía Honda - Manizales, Km 5.28 Honda - Mariquita, , Padilla, Honda, Tolima</v>
      </c>
      <c r="G564">
        <v>0</v>
      </c>
      <c r="H564">
        <v>138241</v>
      </c>
      <c r="I564">
        <v>-74.807490000000001</v>
      </c>
      <c r="J564">
        <v>5.2104999999999997</v>
      </c>
      <c r="K564" t="s">
        <v>24</v>
      </c>
      <c r="L564" s="1">
        <v>44614</v>
      </c>
      <c r="M564" s="2" t="s">
        <v>467</v>
      </c>
      <c r="N564" t="s">
        <v>20</v>
      </c>
      <c r="O564" t="s">
        <v>21</v>
      </c>
      <c r="P564" t="s">
        <v>22</v>
      </c>
    </row>
    <row r="565" spans="1:16" x14ac:dyDescent="0.25">
      <c r="A565" t="s">
        <v>16</v>
      </c>
      <c r="B565" t="s">
        <v>17</v>
      </c>
      <c r="C565" t="s">
        <v>18</v>
      </c>
      <c r="D565" s="1">
        <v>44614</v>
      </c>
      <c r="E565" s="2" t="s">
        <v>292</v>
      </c>
      <c r="F565" s="3" t="str">
        <f>HYPERLINK("https://maps.google.com/maps?q=5.21157,-74.80683&amp;ll=5.21157,-74.80683&amp;z=14.75z","Vía Honda - Manizales, Km 5.18 Honda - Mariquita, , Padilla, Honda, Tolima")</f>
        <v>Vía Honda - Manizales, Km 5.18 Honda - Mariquita, , Padilla, Honda, Tolima</v>
      </c>
      <c r="G565">
        <v>14</v>
      </c>
      <c r="H565">
        <v>138241</v>
      </c>
      <c r="I565">
        <v>-74.806830000000005</v>
      </c>
      <c r="J565">
        <v>5.21157</v>
      </c>
      <c r="K565" t="s">
        <v>24</v>
      </c>
      <c r="L565" s="1">
        <v>44614</v>
      </c>
      <c r="M565" s="2" t="s">
        <v>292</v>
      </c>
      <c r="N565" t="s">
        <v>20</v>
      </c>
      <c r="O565" t="s">
        <v>21</v>
      </c>
      <c r="P565" t="s">
        <v>22</v>
      </c>
    </row>
    <row r="566" spans="1:16" x14ac:dyDescent="0.25">
      <c r="A566" t="s">
        <v>16</v>
      </c>
      <c r="B566" t="s">
        <v>17</v>
      </c>
      <c r="C566" t="s">
        <v>18</v>
      </c>
      <c r="D566" s="1">
        <v>44614</v>
      </c>
      <c r="E566" s="2" t="s">
        <v>468</v>
      </c>
      <c r="F566" s="3" t="str">
        <f>HYPERLINK("https://maps.google.com/maps?q=5.21265,-74.8059&amp;ll=5.21265,-74.8059&amp;z=14.75z","Vía Honda - Manizales, Km 5.03 Honda - Mariquita, , Padilla, Honda, Tolima")</f>
        <v>Vía Honda - Manizales, Km 5.03 Honda - Mariquita, , Padilla, Honda, Tolima</v>
      </c>
      <c r="G566">
        <v>9</v>
      </c>
      <c r="H566">
        <v>138241</v>
      </c>
      <c r="I566">
        <v>-74.805899999999994</v>
      </c>
      <c r="J566">
        <v>5.21265</v>
      </c>
      <c r="K566" t="s">
        <v>24</v>
      </c>
      <c r="L566" s="1">
        <v>44614</v>
      </c>
      <c r="M566" s="2" t="s">
        <v>468</v>
      </c>
      <c r="N566" t="s">
        <v>20</v>
      </c>
      <c r="O566" t="s">
        <v>21</v>
      </c>
      <c r="P566" t="s">
        <v>22</v>
      </c>
    </row>
    <row r="567" spans="1:16" x14ac:dyDescent="0.25">
      <c r="A567" t="s">
        <v>16</v>
      </c>
      <c r="B567" t="s">
        <v>17</v>
      </c>
      <c r="C567" t="s">
        <v>18</v>
      </c>
      <c r="D567" s="1">
        <v>44614</v>
      </c>
      <c r="E567" s="2" t="s">
        <v>469</v>
      </c>
      <c r="F567" s="3" t="str">
        <f>HYPERLINK("https://maps.google.com/maps?q=5.21372,-74.80441&amp;ll=5.21372,-74.80441&amp;z=14.75z","Vía Honda - Manizales, Km 4.83 Honda - Mariquita, , Padilla, Honda, Tolima")</f>
        <v>Vía Honda - Manizales, Km 4.83 Honda - Mariquita, , Padilla, Honda, Tolima</v>
      </c>
      <c r="G567">
        <v>43</v>
      </c>
      <c r="H567">
        <v>138241</v>
      </c>
      <c r="I567">
        <v>-74.804410000000004</v>
      </c>
      <c r="J567">
        <v>5.2137200000000004</v>
      </c>
      <c r="K567" t="s">
        <v>41</v>
      </c>
      <c r="L567" s="1">
        <v>44614</v>
      </c>
      <c r="M567" s="2" t="s">
        <v>469</v>
      </c>
      <c r="N567" t="s">
        <v>20</v>
      </c>
      <c r="O567" t="s">
        <v>21</v>
      </c>
      <c r="P567" t="s">
        <v>22</v>
      </c>
    </row>
    <row r="568" spans="1:16" x14ac:dyDescent="0.25">
      <c r="A568" t="s">
        <v>16</v>
      </c>
      <c r="B568" t="s">
        <v>17</v>
      </c>
      <c r="C568" t="s">
        <v>193</v>
      </c>
      <c r="D568" s="1">
        <v>44614</v>
      </c>
      <c r="E568" s="2" t="s">
        <v>469</v>
      </c>
      <c r="F568" s="3" t="str">
        <f>HYPERLINK("https://maps.google.com/maps?q=5.21602,-74.79894&amp;ll=5.21602,-74.79894&amp;z=14.75z","Vía Honda - Manizales, Km 4.1 Honda - Mariquita, , Calunga, Honda, Tolima")</f>
        <v>Vía Honda - Manizales, Km 4.1 Honda - Mariquita, , Calunga, Honda, Tolima</v>
      </c>
      <c r="G568">
        <v>50</v>
      </c>
      <c r="H568">
        <v>138242</v>
      </c>
      <c r="I568">
        <v>-74.798940000000002</v>
      </c>
      <c r="J568">
        <v>5.2160200000000003</v>
      </c>
      <c r="K568" t="s">
        <v>24</v>
      </c>
      <c r="L568" s="1">
        <v>44614</v>
      </c>
      <c r="M568" s="2" t="s">
        <v>469</v>
      </c>
      <c r="N568" t="s">
        <v>20</v>
      </c>
      <c r="O568" t="s">
        <v>21</v>
      </c>
      <c r="P568" t="s">
        <v>22</v>
      </c>
    </row>
    <row r="569" spans="1:16" x14ac:dyDescent="0.25">
      <c r="A569" t="s">
        <v>16</v>
      </c>
      <c r="B569" t="s">
        <v>17</v>
      </c>
      <c r="C569" t="s">
        <v>18</v>
      </c>
      <c r="D569" s="1">
        <v>44614</v>
      </c>
      <c r="E569" s="2" t="s">
        <v>470</v>
      </c>
      <c r="F569" s="3" t="str">
        <f>HYPERLINK("https://maps.google.com/maps?q=5.21652,-74.79782&amp;ll=5.21652,-74.79782&amp;z=14.75z","Vía Honda - Manizales, Km 4.02 Honda - Mariquita, , Calunga, Honda, Tolima")</f>
        <v>Vía Honda - Manizales, Km 4.02 Honda - Mariquita, , Calunga, Honda, Tolima</v>
      </c>
      <c r="G569">
        <v>49</v>
      </c>
      <c r="H569">
        <v>138242</v>
      </c>
      <c r="I569">
        <v>-74.797820000000002</v>
      </c>
      <c r="J569">
        <v>5.21652</v>
      </c>
      <c r="K569" t="s">
        <v>24</v>
      </c>
      <c r="L569" s="1">
        <v>44614</v>
      </c>
      <c r="M569" s="2" t="s">
        <v>470</v>
      </c>
      <c r="N569" t="s">
        <v>20</v>
      </c>
      <c r="O569" t="s">
        <v>21</v>
      </c>
      <c r="P569" t="s">
        <v>22</v>
      </c>
    </row>
    <row r="570" spans="1:16" x14ac:dyDescent="0.25">
      <c r="A570" t="s">
        <v>16</v>
      </c>
      <c r="B570" t="s">
        <v>17</v>
      </c>
      <c r="C570" t="s">
        <v>18</v>
      </c>
      <c r="D570" s="1">
        <v>44614</v>
      </c>
      <c r="E570" s="2" t="s">
        <v>470</v>
      </c>
      <c r="F570" s="3" t="str">
        <f>HYPERLINK("https://maps.google.com/maps?q=5.21965,-74.79083&amp;ll=5.21965,-74.79083&amp;z=14.75z","Vía Honda - Manizales, Km 3.18 Honda - Mariquita, , , Honda, Tolima")</f>
        <v>Vía Honda - Manizales, Km 3.18 Honda - Mariquita, , , Honda, Tolima</v>
      </c>
      <c r="G570">
        <v>54</v>
      </c>
      <c r="H570">
        <v>138243</v>
      </c>
      <c r="I570">
        <v>-74.79083</v>
      </c>
      <c r="J570">
        <v>5.2196499999999997</v>
      </c>
      <c r="K570" t="s">
        <v>24</v>
      </c>
      <c r="L570" s="1">
        <v>44614</v>
      </c>
      <c r="M570" s="2" t="s">
        <v>471</v>
      </c>
      <c r="N570" t="s">
        <v>20</v>
      </c>
      <c r="O570" t="s">
        <v>21</v>
      </c>
      <c r="P570" t="s">
        <v>22</v>
      </c>
    </row>
    <row r="571" spans="1:16" x14ac:dyDescent="0.25">
      <c r="A571" t="s">
        <v>16</v>
      </c>
      <c r="B571" t="s">
        <v>17</v>
      </c>
      <c r="C571" t="s">
        <v>18</v>
      </c>
      <c r="D571" s="1">
        <v>44614</v>
      </c>
      <c r="E571" s="2" t="s">
        <v>471</v>
      </c>
      <c r="F571" s="3" t="str">
        <f>HYPERLINK("https://maps.google.com/maps?q=5.22068,-74.78216&amp;ll=5.22068,-74.78216&amp;z=14.75z","Vía Honda - Manizales, Km 2.17 Honda - Mariquita, , , Honda, Tolima")</f>
        <v>Vía Honda - Manizales, Km 2.17 Honda - Mariquita, , , Honda, Tolima</v>
      </c>
      <c r="G571">
        <v>59</v>
      </c>
      <c r="H571">
        <v>138244</v>
      </c>
      <c r="I571">
        <v>-74.782160000000005</v>
      </c>
      <c r="J571">
        <v>5.2206799999999998</v>
      </c>
      <c r="K571" t="s">
        <v>41</v>
      </c>
      <c r="L571" s="1">
        <v>44614</v>
      </c>
      <c r="M571" s="2" t="s">
        <v>472</v>
      </c>
      <c r="N571" t="s">
        <v>20</v>
      </c>
      <c r="O571" t="s">
        <v>21</v>
      </c>
      <c r="P571" t="s">
        <v>22</v>
      </c>
    </row>
    <row r="572" spans="1:16" x14ac:dyDescent="0.25">
      <c r="A572" t="s">
        <v>16</v>
      </c>
      <c r="B572" t="s">
        <v>17</v>
      </c>
      <c r="C572" t="s">
        <v>247</v>
      </c>
      <c r="D572" s="1">
        <v>44614</v>
      </c>
      <c r="E572" s="2" t="s">
        <v>472</v>
      </c>
      <c r="F572" s="3" t="str">
        <f>HYPERLINK("https://maps.google.com/maps?q=5.22033,-74.77768&amp;ll=5.22033,-74.77768&amp;z=14.75z","Vía Honda - Manizales, Km 1.71 Honda - Mariquita, , , Honda, Tolima")</f>
        <v>Vía Honda - Manizales, Km 1.71 Honda - Mariquita, , , Honda, Tolima</v>
      </c>
      <c r="G572">
        <v>57</v>
      </c>
      <c r="H572">
        <v>138244</v>
      </c>
      <c r="I572">
        <v>-74.777680000000004</v>
      </c>
      <c r="J572">
        <v>5.2203299999999997</v>
      </c>
      <c r="K572" t="s">
        <v>41</v>
      </c>
      <c r="L572" s="1">
        <v>44614</v>
      </c>
      <c r="M572" s="2" t="s">
        <v>472</v>
      </c>
      <c r="N572" t="s">
        <v>20</v>
      </c>
      <c r="O572" t="s">
        <v>21</v>
      </c>
      <c r="P572" t="s">
        <v>22</v>
      </c>
    </row>
    <row r="573" spans="1:16" x14ac:dyDescent="0.25">
      <c r="A573" t="s">
        <v>16</v>
      </c>
      <c r="B573" t="s">
        <v>17</v>
      </c>
      <c r="C573" t="s">
        <v>245</v>
      </c>
      <c r="D573" s="1">
        <v>44614</v>
      </c>
      <c r="E573" s="2" t="s">
        <v>472</v>
      </c>
      <c r="F573" s="3" t="str">
        <f>HYPERLINK("https://maps.google.com/maps?q=5.22033,-74.77768&amp;ll=5.22033,-74.77768&amp;z=14.75z","Vía Honda - Manizales, Km 1.71 Honda - Mariquita, , , Honda, ")</f>
        <v xml:space="preserve">Vía Honda - Manizales, Km 1.71 Honda - Mariquita, , , Honda, </v>
      </c>
      <c r="G573">
        <v>65</v>
      </c>
      <c r="H573">
        <v>138244</v>
      </c>
      <c r="I573">
        <v>-74.777680000000004</v>
      </c>
      <c r="J573">
        <v>5.2203299999999997</v>
      </c>
      <c r="K573" t="s">
        <v>41</v>
      </c>
      <c r="L573" s="1">
        <v>44614</v>
      </c>
      <c r="M573" s="2" t="s">
        <v>473</v>
      </c>
      <c r="N573" t="s">
        <v>20</v>
      </c>
      <c r="O573" t="s">
        <v>246</v>
      </c>
      <c r="P573" t="s">
        <v>22</v>
      </c>
    </row>
    <row r="574" spans="1:16" x14ac:dyDescent="0.25">
      <c r="A574" t="s">
        <v>16</v>
      </c>
      <c r="B574" t="s">
        <v>17</v>
      </c>
      <c r="C574" t="s">
        <v>18</v>
      </c>
      <c r="D574" s="1">
        <v>44614</v>
      </c>
      <c r="E574" s="2" t="s">
        <v>472</v>
      </c>
      <c r="F574" s="3" t="str">
        <f>HYPERLINK("https://maps.google.com/maps?q=5.21962,-74.77423&amp;ll=5.21962,-74.77423&amp;z=14.75z","Vía Honda - Manizales, Km 1.27 Honda - Mariquita, , , Honda, Tolima")</f>
        <v>Vía Honda - Manizales, Km 1.27 Honda - Mariquita, , , Honda, Tolima</v>
      </c>
      <c r="G574">
        <v>66</v>
      </c>
      <c r="H574">
        <v>138245</v>
      </c>
      <c r="I574">
        <v>-74.774230000000003</v>
      </c>
      <c r="J574">
        <v>5.2196199999999999</v>
      </c>
      <c r="K574" t="s">
        <v>41</v>
      </c>
      <c r="L574" s="1">
        <v>44614</v>
      </c>
      <c r="M574" s="2" t="s">
        <v>472</v>
      </c>
      <c r="N574" t="s">
        <v>20</v>
      </c>
      <c r="O574" t="s">
        <v>21</v>
      </c>
      <c r="P574" t="s">
        <v>22</v>
      </c>
    </row>
    <row r="575" spans="1:16" x14ac:dyDescent="0.25">
      <c r="A575" t="s">
        <v>16</v>
      </c>
      <c r="B575" t="s">
        <v>17</v>
      </c>
      <c r="C575" t="s">
        <v>18</v>
      </c>
      <c r="D575" s="1">
        <v>44614</v>
      </c>
      <c r="E575" s="2" t="s">
        <v>473</v>
      </c>
      <c r="F575" s="3" t="str">
        <f>HYPERLINK("https://maps.google.com/maps?q=5.21633,-74.76668&amp;ll=5.21633,-74.76668&amp;z=14.75z","Cll 12, , , Honda, Tolima")</f>
        <v>Cll 12, , , Honda, Tolima</v>
      </c>
      <c r="G575">
        <v>47</v>
      </c>
      <c r="H575">
        <v>138246</v>
      </c>
      <c r="I575">
        <v>-74.766679999999994</v>
      </c>
      <c r="J575">
        <v>5.2163300000000001</v>
      </c>
      <c r="K575" t="s">
        <v>33</v>
      </c>
      <c r="L575" s="1">
        <v>44614</v>
      </c>
      <c r="M575" s="2" t="s">
        <v>473</v>
      </c>
      <c r="N575" t="s">
        <v>20</v>
      </c>
      <c r="O575" t="s">
        <v>21</v>
      </c>
      <c r="P575" t="s">
        <v>22</v>
      </c>
    </row>
    <row r="576" spans="1:16" x14ac:dyDescent="0.25">
      <c r="A576" t="s">
        <v>16</v>
      </c>
      <c r="B576" t="s">
        <v>17</v>
      </c>
      <c r="C576" t="s">
        <v>247</v>
      </c>
      <c r="D576" s="1">
        <v>44614</v>
      </c>
      <c r="E576" s="2" t="s">
        <v>473</v>
      </c>
      <c r="F576" s="3" t="str">
        <f>HYPERLINK("https://maps.google.com/maps?q=5.21526,-74.7659&amp;ll=5.21526,-74.7659&amp;z=14.75z","Cll 12A, 33, , , Honda, Tolima")</f>
        <v>Cll 12A, 33, , , Honda, Tolima</v>
      </c>
      <c r="G576">
        <v>21</v>
      </c>
      <c r="H576">
        <v>138246</v>
      </c>
      <c r="I576">
        <v>-74.765900000000002</v>
      </c>
      <c r="J576">
        <v>5.2152599999999998</v>
      </c>
      <c r="K576" t="s">
        <v>33</v>
      </c>
      <c r="L576" s="1">
        <v>44614</v>
      </c>
      <c r="M576" s="2" t="s">
        <v>320</v>
      </c>
      <c r="N576" t="s">
        <v>20</v>
      </c>
      <c r="O576" t="s">
        <v>21</v>
      </c>
      <c r="P576" t="s">
        <v>22</v>
      </c>
    </row>
    <row r="577" spans="1:16" x14ac:dyDescent="0.25">
      <c r="A577" t="s">
        <v>16</v>
      </c>
      <c r="B577" t="s">
        <v>17</v>
      </c>
      <c r="C577" t="s">
        <v>245</v>
      </c>
      <c r="D577" s="1">
        <v>44614</v>
      </c>
      <c r="E577" s="2" t="s">
        <v>473</v>
      </c>
      <c r="F577" s="3" t="str">
        <f>HYPERLINK("https://maps.google.com/maps?q=5.21526,-74.7659&amp;ll=5.21526,-74.7659&amp;z=14.75z","Cll 12A, 33, , , Honda, ")</f>
        <v xml:space="preserve">Cll 12A, 33, , , Honda, </v>
      </c>
      <c r="G577">
        <v>65</v>
      </c>
      <c r="H577">
        <v>138246</v>
      </c>
      <c r="I577">
        <v>-74.765900000000002</v>
      </c>
      <c r="J577">
        <v>5.2152599999999998</v>
      </c>
      <c r="K577" t="s">
        <v>33</v>
      </c>
      <c r="L577" s="1">
        <v>44614</v>
      </c>
      <c r="M577" s="2" t="s">
        <v>320</v>
      </c>
      <c r="N577" t="s">
        <v>20</v>
      </c>
      <c r="O577" t="s">
        <v>246</v>
      </c>
      <c r="P577" t="s">
        <v>22</v>
      </c>
    </row>
    <row r="578" spans="1:16" x14ac:dyDescent="0.25">
      <c r="A578" t="s">
        <v>16</v>
      </c>
      <c r="B578" t="s">
        <v>17</v>
      </c>
      <c r="C578" t="s">
        <v>18</v>
      </c>
      <c r="D578" s="1">
        <v>44614</v>
      </c>
      <c r="E578" s="2" t="s">
        <v>320</v>
      </c>
      <c r="F578" s="3" t="str">
        <f>HYPERLINK("https://maps.google.com/maps?q=5.2136,-74.76469&amp;ll=5.2136,-74.76469&amp;z=14.75z","Cll 12, 31, , , Honda, Tolima")</f>
        <v>Cll 12, 31, , , Honda, Tolima</v>
      </c>
      <c r="G578">
        <v>36</v>
      </c>
      <c r="H578">
        <v>138246</v>
      </c>
      <c r="I578">
        <v>-74.764690000000002</v>
      </c>
      <c r="J578">
        <v>5.2135999999999996</v>
      </c>
      <c r="K578" t="s">
        <v>33</v>
      </c>
      <c r="L578" s="1">
        <v>44614</v>
      </c>
      <c r="M578" s="2" t="s">
        <v>320</v>
      </c>
      <c r="N578" t="s">
        <v>20</v>
      </c>
      <c r="O578" t="s">
        <v>21</v>
      </c>
      <c r="P578" t="s">
        <v>22</v>
      </c>
    </row>
    <row r="579" spans="1:16" x14ac:dyDescent="0.25">
      <c r="A579" t="s">
        <v>16</v>
      </c>
      <c r="B579" t="s">
        <v>17</v>
      </c>
      <c r="C579" t="s">
        <v>27</v>
      </c>
      <c r="D579" s="1">
        <v>44614</v>
      </c>
      <c r="E579" s="2" t="s">
        <v>474</v>
      </c>
      <c r="F579" s="3" t="str">
        <f>HYPERLINK("https://maps.google.com/maps?q=5.21238,-74.76384&amp;ll=5.21238,-74.76384&amp;z=14.75z","Cra 31, 12, , , Honda, Tolima")</f>
        <v>Cra 31, 12, , , Honda, Tolima</v>
      </c>
      <c r="G579">
        <v>15</v>
      </c>
      <c r="H579">
        <v>138246</v>
      </c>
      <c r="I579">
        <v>-74.763840000000002</v>
      </c>
      <c r="J579">
        <v>5.2123799999999996</v>
      </c>
      <c r="K579" t="s">
        <v>23</v>
      </c>
      <c r="L579" s="1">
        <v>44614</v>
      </c>
      <c r="M579" s="2" t="s">
        <v>474</v>
      </c>
      <c r="N579" t="s">
        <v>20</v>
      </c>
      <c r="O579" t="s">
        <v>21</v>
      </c>
      <c r="P579" t="s">
        <v>28</v>
      </c>
    </row>
    <row r="580" spans="1:16" x14ac:dyDescent="0.25">
      <c r="A580" t="s">
        <v>16</v>
      </c>
      <c r="B580" t="s">
        <v>17</v>
      </c>
      <c r="C580" t="s">
        <v>18</v>
      </c>
      <c r="D580" s="1">
        <v>44614</v>
      </c>
      <c r="E580" s="2" t="s">
        <v>475</v>
      </c>
      <c r="F580" s="3" t="str">
        <f>HYPERLINK("https://maps.google.com/maps?q=5.21238,-74.76384&amp;ll=5.21238,-74.76384&amp;z=14.75z","Cra 31, 12, , , Honda, Tolima")</f>
        <v>Cra 31, 12, , , Honda, Tolima</v>
      </c>
      <c r="G580">
        <v>15</v>
      </c>
      <c r="H580">
        <v>138246</v>
      </c>
      <c r="I580">
        <v>-74.763840000000002</v>
      </c>
      <c r="J580">
        <v>5.2123799999999996</v>
      </c>
      <c r="K580" t="s">
        <v>23</v>
      </c>
      <c r="L580" s="1">
        <v>44614</v>
      </c>
      <c r="M580" s="2" t="s">
        <v>475</v>
      </c>
      <c r="N580" t="s">
        <v>20</v>
      </c>
      <c r="O580" t="s">
        <v>21</v>
      </c>
      <c r="P580" t="s">
        <v>28</v>
      </c>
    </row>
    <row r="581" spans="1:16" x14ac:dyDescent="0.25">
      <c r="A581" t="s">
        <v>16</v>
      </c>
      <c r="B581" t="s">
        <v>17</v>
      </c>
      <c r="C581" t="s">
        <v>18</v>
      </c>
      <c r="D581" s="1">
        <v>44614</v>
      </c>
      <c r="E581" s="2" t="s">
        <v>476</v>
      </c>
      <c r="F581" s="3" t="str">
        <f>HYPERLINK("https://maps.google.com/maps?q=5.20596,-74.76064&amp;ll=5.20596,-74.76064&amp;z=14.75z","Cll 11, , , Honda, Tolima")</f>
        <v>Cll 11, , , Honda, Tolima</v>
      </c>
      <c r="G581">
        <v>28</v>
      </c>
      <c r="H581">
        <v>138247</v>
      </c>
      <c r="I581">
        <v>-74.760639999999995</v>
      </c>
      <c r="J581">
        <v>5.2059600000000001</v>
      </c>
      <c r="K581" t="s">
        <v>33</v>
      </c>
      <c r="L581" s="1">
        <v>44614</v>
      </c>
      <c r="M581" s="2" t="s">
        <v>476</v>
      </c>
      <c r="N581" t="s">
        <v>20</v>
      </c>
      <c r="O581" t="s">
        <v>21</v>
      </c>
      <c r="P581" t="s">
        <v>22</v>
      </c>
    </row>
    <row r="582" spans="1:16" x14ac:dyDescent="0.25">
      <c r="A582" t="s">
        <v>16</v>
      </c>
      <c r="B582" t="s">
        <v>17</v>
      </c>
      <c r="C582" t="s">
        <v>18</v>
      </c>
      <c r="D582" s="1">
        <v>44614</v>
      </c>
      <c r="E582" s="2" t="s">
        <v>477</v>
      </c>
      <c r="F582" s="3" t="str">
        <f>HYPERLINK("https://maps.google.com/maps?q=5.20333,-74.75704&amp;ll=5.20333,-74.75704&amp;z=14.75z","Cll 10, , , Honda, Tolima")</f>
        <v>Cll 10, , , Honda, Tolima</v>
      </c>
      <c r="G582">
        <v>27</v>
      </c>
      <c r="H582">
        <v>138247</v>
      </c>
      <c r="I582">
        <v>-74.757040000000003</v>
      </c>
      <c r="J582">
        <v>5.2033300000000002</v>
      </c>
      <c r="K582" t="s">
        <v>33</v>
      </c>
      <c r="L582" s="1">
        <v>44614</v>
      </c>
      <c r="M582" s="2" t="s">
        <v>477</v>
      </c>
      <c r="N582" t="s">
        <v>20</v>
      </c>
      <c r="O582" t="s">
        <v>21</v>
      </c>
      <c r="P582" t="s">
        <v>22</v>
      </c>
    </row>
    <row r="583" spans="1:16" x14ac:dyDescent="0.25">
      <c r="A583" t="s">
        <v>16</v>
      </c>
      <c r="B583" t="s">
        <v>17</v>
      </c>
      <c r="C583" t="s">
        <v>18</v>
      </c>
      <c r="D583" s="1">
        <v>44614</v>
      </c>
      <c r="E583" s="2" t="s">
        <v>477</v>
      </c>
      <c r="F583" s="3" t="str">
        <f>HYPERLINK("https://maps.google.com/maps?q=5.20121,-74.75278&amp;ll=5.20121,-74.75278&amp;z=14.75z","Cll 10, 23, , , Honda, Tolima")</f>
        <v>Cll 10, 23, , , Honda, Tolima</v>
      </c>
      <c r="G583">
        <v>44</v>
      </c>
      <c r="H583">
        <v>138248</v>
      </c>
      <c r="I583">
        <v>-74.752780000000001</v>
      </c>
      <c r="J583">
        <v>5.2012099999999997</v>
      </c>
      <c r="K583" t="s">
        <v>41</v>
      </c>
      <c r="L583" s="1">
        <v>44614</v>
      </c>
      <c r="M583" s="2" t="s">
        <v>478</v>
      </c>
      <c r="N583" t="s">
        <v>20</v>
      </c>
      <c r="O583" t="s">
        <v>21</v>
      </c>
      <c r="P583" t="s">
        <v>22</v>
      </c>
    </row>
    <row r="584" spans="1:16" x14ac:dyDescent="0.25">
      <c r="A584" t="s">
        <v>16</v>
      </c>
      <c r="B584" t="s">
        <v>17</v>
      </c>
      <c r="C584" t="s">
        <v>27</v>
      </c>
      <c r="D584" s="1">
        <v>44614</v>
      </c>
      <c r="E584" s="2" t="s">
        <v>478</v>
      </c>
      <c r="F584" s="3" t="str">
        <f>HYPERLINK("https://maps.google.com/maps?q=5.20299,-74.74915&amp;ll=5.20299,-74.74915&amp;z=14.75z","Vía Honda - Manizales, , , Honda, Tolima")</f>
        <v>Vía Honda - Manizales, , , Honda, Tolima</v>
      </c>
      <c r="G584">
        <v>44</v>
      </c>
      <c r="H584">
        <v>138248</v>
      </c>
      <c r="I584">
        <v>-74.74915</v>
      </c>
      <c r="J584">
        <v>5.2029899999999998</v>
      </c>
      <c r="K584" t="s">
        <v>23</v>
      </c>
      <c r="L584" s="1">
        <v>44614</v>
      </c>
      <c r="M584" s="2" t="s">
        <v>478</v>
      </c>
      <c r="N584" t="s">
        <v>20</v>
      </c>
      <c r="O584" t="s">
        <v>21</v>
      </c>
      <c r="P584" t="s">
        <v>28</v>
      </c>
    </row>
    <row r="585" spans="1:16" x14ac:dyDescent="0.25">
      <c r="A585" t="s">
        <v>16</v>
      </c>
      <c r="B585" t="s">
        <v>17</v>
      </c>
      <c r="C585" t="s">
        <v>18</v>
      </c>
      <c r="D585" s="1">
        <v>44614</v>
      </c>
      <c r="E585" s="2" t="s">
        <v>478</v>
      </c>
      <c r="F585" s="3" t="str">
        <f>HYPERLINK("https://maps.google.com/maps?q=5.20299,-74.74915&amp;ll=5.20299,-74.74915&amp;z=14.75z","Vía Honda - Manizales, , , Honda, Tolima")</f>
        <v>Vía Honda - Manizales, , , Honda, Tolima</v>
      </c>
      <c r="G585">
        <v>44</v>
      </c>
      <c r="H585">
        <v>138248</v>
      </c>
      <c r="I585">
        <v>-74.74915</v>
      </c>
      <c r="J585">
        <v>5.2029899999999998</v>
      </c>
      <c r="K585" t="s">
        <v>23</v>
      </c>
      <c r="L585" s="1">
        <v>44614</v>
      </c>
      <c r="M585" s="2" t="s">
        <v>479</v>
      </c>
      <c r="N585" t="s">
        <v>20</v>
      </c>
      <c r="O585" t="s">
        <v>21</v>
      </c>
      <c r="P585" t="s">
        <v>28</v>
      </c>
    </row>
    <row r="586" spans="1:16" x14ac:dyDescent="0.25">
      <c r="A586" t="s">
        <v>16</v>
      </c>
      <c r="B586" t="s">
        <v>17</v>
      </c>
      <c r="C586" t="s">
        <v>18</v>
      </c>
      <c r="D586" s="1">
        <v>44614</v>
      </c>
      <c r="E586" s="2" t="s">
        <v>479</v>
      </c>
      <c r="F586" s="3" t="str">
        <f>HYPERLINK("https://maps.google.com/maps?q=5.21127,-74.73913&amp;ll=5.21127,-74.73913&amp;z=14.75z","Vía Honda - Manizales, , , Honda, Tolima")</f>
        <v>Vía Honda - Manizales, , , Honda, Tolima</v>
      </c>
      <c r="G586">
        <v>38</v>
      </c>
      <c r="H586">
        <v>138250</v>
      </c>
      <c r="I586">
        <v>-74.739130000000003</v>
      </c>
      <c r="J586">
        <v>5.2112699999999998</v>
      </c>
      <c r="K586" t="s">
        <v>24</v>
      </c>
      <c r="L586" s="1">
        <v>44614</v>
      </c>
      <c r="M586" s="2" t="s">
        <v>479</v>
      </c>
      <c r="N586" t="s">
        <v>20</v>
      </c>
      <c r="O586" t="s">
        <v>21</v>
      </c>
      <c r="P586" t="s">
        <v>22</v>
      </c>
    </row>
    <row r="587" spans="1:16" x14ac:dyDescent="0.25">
      <c r="A587" t="s">
        <v>16</v>
      </c>
      <c r="B587" t="s">
        <v>17</v>
      </c>
      <c r="C587" t="s">
        <v>27</v>
      </c>
      <c r="D587" s="1">
        <v>44614</v>
      </c>
      <c r="E587" s="2" t="s">
        <v>480</v>
      </c>
      <c r="F587" s="3" t="str">
        <f>HYPERLINK("https://maps.google.com/maps?q=5.20946,-74.73678&amp;ll=5.20946,-74.73678&amp;z=14.75z","Cra 11, 17, , , Honda, Tolima")</f>
        <v>Cra 11, 17, , , Honda, Tolima</v>
      </c>
      <c r="G587">
        <v>24</v>
      </c>
      <c r="H587">
        <v>138250</v>
      </c>
      <c r="I587">
        <v>-74.736779999999996</v>
      </c>
      <c r="J587">
        <v>5.20946</v>
      </c>
      <c r="K587" t="s">
        <v>23</v>
      </c>
      <c r="L587" s="1">
        <v>44614</v>
      </c>
      <c r="M587" s="2" t="s">
        <v>480</v>
      </c>
      <c r="N587" t="s">
        <v>20</v>
      </c>
      <c r="O587" t="s">
        <v>21</v>
      </c>
      <c r="P587" t="s">
        <v>28</v>
      </c>
    </row>
    <row r="588" spans="1:16" x14ac:dyDescent="0.25">
      <c r="A588" t="s">
        <v>16</v>
      </c>
      <c r="B588" t="s">
        <v>17</v>
      </c>
      <c r="C588" t="s">
        <v>18</v>
      </c>
      <c r="D588" s="1">
        <v>44614</v>
      </c>
      <c r="E588" s="2" t="s">
        <v>480</v>
      </c>
      <c r="F588" s="3" t="str">
        <f>HYPERLINK("https://maps.google.com/maps?q=5.20708,-74.73537&amp;ll=5.20708,-74.73537&amp;z=14.75z","Cll 17, , , Honda, Tolima")</f>
        <v>Cll 17, , , Honda, Tolima</v>
      </c>
      <c r="G588">
        <v>21</v>
      </c>
      <c r="H588">
        <v>138250</v>
      </c>
      <c r="I588">
        <v>-74.735370000000003</v>
      </c>
      <c r="J588">
        <v>5.2070800000000004</v>
      </c>
      <c r="K588" t="s">
        <v>41</v>
      </c>
      <c r="L588" s="1">
        <v>44614</v>
      </c>
      <c r="M588" s="2" t="s">
        <v>480</v>
      </c>
      <c r="N588" t="s">
        <v>20</v>
      </c>
      <c r="O588" t="s">
        <v>21</v>
      </c>
      <c r="P588" t="s">
        <v>22</v>
      </c>
    </row>
    <row r="589" spans="1:16" x14ac:dyDescent="0.25">
      <c r="A589" t="s">
        <v>16</v>
      </c>
      <c r="B589" t="s">
        <v>17</v>
      </c>
      <c r="C589" t="s">
        <v>27</v>
      </c>
      <c r="D589" s="1">
        <v>44614</v>
      </c>
      <c r="E589" s="2" t="s">
        <v>481</v>
      </c>
      <c r="F589" s="3" t="str">
        <f>HYPERLINK("https://maps.google.com/maps?q=5.20665,-74.73283&amp;ll=5.20665,-74.73283&amp;z=14.75z","Cra 5, 5, , Puerto Bogota, Guaduas, Cundinamarca")</f>
        <v>Cra 5, 5, , Puerto Bogota, Guaduas, Cundinamarca</v>
      </c>
      <c r="G589">
        <v>14</v>
      </c>
      <c r="H589">
        <v>138251</v>
      </c>
      <c r="I589">
        <v>-74.732830000000007</v>
      </c>
      <c r="J589">
        <v>5.2066499999999998</v>
      </c>
      <c r="K589" t="s">
        <v>23</v>
      </c>
      <c r="L589" s="1">
        <v>44614</v>
      </c>
      <c r="M589" s="2" t="s">
        <v>481</v>
      </c>
      <c r="N589" t="s">
        <v>20</v>
      </c>
      <c r="O589" t="s">
        <v>21</v>
      </c>
      <c r="P589" t="s">
        <v>28</v>
      </c>
    </row>
    <row r="590" spans="1:16" x14ac:dyDescent="0.25">
      <c r="A590" t="s">
        <v>16</v>
      </c>
      <c r="B590" t="s">
        <v>17</v>
      </c>
      <c r="C590" t="s">
        <v>18</v>
      </c>
      <c r="D590" s="1">
        <v>44614</v>
      </c>
      <c r="E590" s="2" t="s">
        <v>481</v>
      </c>
      <c r="F590" s="3" t="str">
        <f>HYPERLINK("https://maps.google.com/maps?q=5.20665,-74.73283&amp;ll=5.20665,-74.73283&amp;z=14.75z","Cra 5, 5, , Puerto Bogota, Guaduas, Cundinamarca")</f>
        <v>Cra 5, 5, , Puerto Bogota, Guaduas, Cundinamarca</v>
      </c>
      <c r="G590">
        <v>14</v>
      </c>
      <c r="H590">
        <v>138251</v>
      </c>
      <c r="I590">
        <v>-74.732830000000007</v>
      </c>
      <c r="J590">
        <v>5.2066499999999998</v>
      </c>
      <c r="K590" t="s">
        <v>23</v>
      </c>
      <c r="L590" s="1">
        <v>44614</v>
      </c>
      <c r="M590" s="2" t="s">
        <v>481</v>
      </c>
      <c r="N590" t="s">
        <v>20</v>
      </c>
      <c r="O590" t="s">
        <v>21</v>
      </c>
      <c r="P590" t="s">
        <v>28</v>
      </c>
    </row>
    <row r="591" spans="1:16" x14ac:dyDescent="0.25">
      <c r="A591" t="s">
        <v>16</v>
      </c>
      <c r="B591" t="s">
        <v>17</v>
      </c>
      <c r="C591" t="s">
        <v>18</v>
      </c>
      <c r="D591" s="1">
        <v>44614</v>
      </c>
      <c r="E591" s="2" t="s">
        <v>482</v>
      </c>
      <c r="F591" s="3" t="str">
        <f>HYPERLINK("https://maps.google.com/maps?q=5.20236,-74.72327&amp;ll=5.20236,-74.72327&amp;z=14.75z","Aut Bogotá - Medellín, Km 0.58 Puerto Bogotá - Guaduas, , Puerto Bogota, Guaduas, Cundinamarca")</f>
        <v>Aut Bogotá - Medellín, Km 0.58 Puerto Bogotá - Guaduas, , Puerto Bogota, Guaduas, Cundinamarca</v>
      </c>
      <c r="G591">
        <v>51</v>
      </c>
      <c r="H591">
        <v>138252</v>
      </c>
      <c r="I591">
        <v>-74.723269999999999</v>
      </c>
      <c r="J591">
        <v>5.2023599999999997</v>
      </c>
      <c r="K591" t="s">
        <v>41</v>
      </c>
      <c r="L591" s="1">
        <v>44614</v>
      </c>
      <c r="M591" s="2" t="s">
        <v>482</v>
      </c>
      <c r="N591" t="s">
        <v>20</v>
      </c>
      <c r="O591" t="s">
        <v>21</v>
      </c>
      <c r="P591" t="s">
        <v>22</v>
      </c>
    </row>
    <row r="592" spans="1:16" x14ac:dyDescent="0.25">
      <c r="A592" t="s">
        <v>16</v>
      </c>
      <c r="B592" t="s">
        <v>17</v>
      </c>
      <c r="C592" t="s">
        <v>18</v>
      </c>
      <c r="D592" s="1">
        <v>44614</v>
      </c>
      <c r="E592" s="2" t="s">
        <v>483</v>
      </c>
      <c r="F592" s="3" t="str">
        <f>HYPERLINK("https://maps.google.com/maps?q=5.19789,-74.7185&amp;ll=5.19789,-74.7185&amp;z=14.75z","Aut Bogotá - Medellín, Km 1.1 Puerto Bogotá - Guaduas, , Puerto Bogota, Guaduas, Cundinamarca")</f>
        <v>Aut Bogotá - Medellín, Km 1.1 Puerto Bogotá - Guaduas, , Puerto Bogota, Guaduas, Cundinamarca</v>
      </c>
      <c r="G592">
        <v>48</v>
      </c>
      <c r="H592">
        <v>138253</v>
      </c>
      <c r="I592">
        <v>-74.718500000000006</v>
      </c>
      <c r="J592">
        <v>5.1978900000000001</v>
      </c>
      <c r="K592" t="s">
        <v>33</v>
      </c>
      <c r="L592" s="1">
        <v>44614</v>
      </c>
      <c r="M592" s="2" t="s">
        <v>484</v>
      </c>
      <c r="N592" t="s">
        <v>20</v>
      </c>
      <c r="O592" t="s">
        <v>21</v>
      </c>
      <c r="P592" t="s">
        <v>22</v>
      </c>
    </row>
    <row r="593" spans="1:16" x14ac:dyDescent="0.25">
      <c r="A593" t="s">
        <v>16</v>
      </c>
      <c r="B593" t="s">
        <v>17</v>
      </c>
      <c r="C593" t="s">
        <v>18</v>
      </c>
      <c r="D593" s="1">
        <v>44614</v>
      </c>
      <c r="E593" s="2" t="s">
        <v>484</v>
      </c>
      <c r="F593" s="3" t="str">
        <f>HYPERLINK("https://maps.google.com/maps?q=5.19121,-74.71547&amp;ll=5.19121,-74.71547&amp;z=14.75z","Aut Bogotá - Medellín, Km 2.24 Puerto Bogotá - Guaduas, , Puerto Bogota, Guaduas, Cundinamarca")</f>
        <v>Aut Bogotá - Medellín, Km 2.24 Puerto Bogotá - Guaduas, , Puerto Bogota, Guaduas, Cundinamarca</v>
      </c>
      <c r="G593">
        <v>51</v>
      </c>
      <c r="H593">
        <v>138254</v>
      </c>
      <c r="I593">
        <v>-74.715469999999996</v>
      </c>
      <c r="J593">
        <v>5.1912099999999999</v>
      </c>
      <c r="K593" t="s">
        <v>33</v>
      </c>
      <c r="L593" s="1">
        <v>44614</v>
      </c>
      <c r="M593" s="2" t="s">
        <v>487</v>
      </c>
      <c r="N593" t="s">
        <v>20</v>
      </c>
      <c r="O593" t="s">
        <v>21</v>
      </c>
      <c r="P593" t="s">
        <v>22</v>
      </c>
    </row>
    <row r="594" spans="1:16" x14ac:dyDescent="0.25">
      <c r="A594" t="s">
        <v>16</v>
      </c>
      <c r="B594" t="s">
        <v>17</v>
      </c>
      <c r="C594" t="s">
        <v>18</v>
      </c>
      <c r="D594" s="1">
        <v>44614</v>
      </c>
      <c r="E594" s="2" t="s">
        <v>485</v>
      </c>
      <c r="F594" s="3" t="str">
        <f>HYPERLINK("https://maps.google.com/maps?q=5.19038,-74.71471&amp;ll=5.19038,-74.71471&amp;z=14.75z","Aut Bogotá - Medellín, Km 2.28 Puerto Bogotá - Guaduas, , Puerto Bogota, Guaduas, Cundinamarca")</f>
        <v>Aut Bogotá - Medellín, Km 2.28 Puerto Bogotá - Guaduas, , Puerto Bogota, Guaduas, Cundinamarca</v>
      </c>
      <c r="G594">
        <v>48</v>
      </c>
      <c r="H594">
        <v>138254</v>
      </c>
      <c r="I594">
        <v>-74.714709999999997</v>
      </c>
      <c r="J594">
        <v>5.1903800000000002</v>
      </c>
      <c r="K594" t="s">
        <v>23</v>
      </c>
      <c r="L594" s="1">
        <v>44614</v>
      </c>
      <c r="M594" s="2" t="s">
        <v>487</v>
      </c>
      <c r="N594" t="s">
        <v>20</v>
      </c>
      <c r="O594" t="s">
        <v>21</v>
      </c>
      <c r="P594" t="s">
        <v>28</v>
      </c>
    </row>
    <row r="595" spans="1:16" x14ac:dyDescent="0.25">
      <c r="A595" t="s">
        <v>16</v>
      </c>
      <c r="B595" t="s">
        <v>17</v>
      </c>
      <c r="C595" t="s">
        <v>18</v>
      </c>
      <c r="D595" s="1">
        <v>44614</v>
      </c>
      <c r="E595" s="2" t="s">
        <v>486</v>
      </c>
      <c r="F595" s="3" t="str">
        <f>HYPERLINK("https://maps.google.com/maps?q=5.19118,-74.70771&amp;ll=5.19118,-74.70771&amp;z=14.75z","Aut Bogotá - Medellín, Km 3.41 Puerto Bogotá - Guaduas, , Puerto Bogota, Guaduas, Cundinamarca")</f>
        <v>Aut Bogotá - Medellín, Km 3.41 Puerto Bogotá - Guaduas, , Puerto Bogota, Guaduas, Cundinamarca</v>
      </c>
      <c r="G595">
        <v>33</v>
      </c>
      <c r="H595">
        <v>138255</v>
      </c>
      <c r="I595">
        <v>-74.707710000000006</v>
      </c>
      <c r="J595">
        <v>5.1911800000000001</v>
      </c>
      <c r="K595" t="s">
        <v>24</v>
      </c>
      <c r="L595" s="1">
        <v>44614</v>
      </c>
      <c r="M595" s="2" t="s">
        <v>487</v>
      </c>
      <c r="N595" t="s">
        <v>20</v>
      </c>
      <c r="O595" t="s">
        <v>21</v>
      </c>
      <c r="P595" t="s">
        <v>22</v>
      </c>
    </row>
    <row r="596" spans="1:16" x14ac:dyDescent="0.25">
      <c r="A596" t="s">
        <v>16</v>
      </c>
      <c r="B596" t="s">
        <v>17</v>
      </c>
      <c r="C596" t="s">
        <v>27</v>
      </c>
      <c r="D596" s="1">
        <v>44614</v>
      </c>
      <c r="E596" s="2" t="s">
        <v>487</v>
      </c>
      <c r="F596" s="3" t="str">
        <f>HYPERLINK("https://maps.google.com/maps?q=5.19016,-74.70443&amp;ll=5.19016,-74.70443&amp;z=14.75z","Aut Bogotá - Medellín, Km 3.84 Puerto Bogotá - Guaduas, , Puerto Bogota, Guaduas, Cundinamarca")</f>
        <v>Aut Bogotá - Medellín, Km 3.84 Puerto Bogotá - Guaduas, , Puerto Bogota, Guaduas, Cundinamarca</v>
      </c>
      <c r="G596">
        <v>38</v>
      </c>
      <c r="H596">
        <v>138255</v>
      </c>
      <c r="I596">
        <v>-74.704430000000002</v>
      </c>
      <c r="J596">
        <v>5.1901599999999997</v>
      </c>
      <c r="K596" t="s">
        <v>33</v>
      </c>
      <c r="L596" s="1">
        <v>44614</v>
      </c>
      <c r="M596" s="2" t="s">
        <v>487</v>
      </c>
      <c r="N596" t="s">
        <v>20</v>
      </c>
      <c r="O596" t="s">
        <v>21</v>
      </c>
      <c r="P596" t="s">
        <v>22</v>
      </c>
    </row>
    <row r="597" spans="1:16" x14ac:dyDescent="0.25">
      <c r="A597" t="s">
        <v>16</v>
      </c>
      <c r="B597" t="s">
        <v>17</v>
      </c>
      <c r="C597" t="s">
        <v>18</v>
      </c>
      <c r="D597" s="1">
        <v>44614</v>
      </c>
      <c r="E597" s="2" t="s">
        <v>487</v>
      </c>
      <c r="F597" s="3" t="str">
        <f>HYPERLINK("https://maps.google.com/maps?q=5.18999,-74.70284&amp;ll=5.18999,-74.70284&amp;z=14.75z","Aut Bogotá - Medellín, Km 3.93 Puerto Bogotá - Guaduas, , Puerto Bogota, Guaduas, Cundinamarca")</f>
        <v>Aut Bogotá - Medellín, Km 3.93 Puerto Bogotá - Guaduas, , Puerto Bogota, Guaduas, Cundinamarca</v>
      </c>
      <c r="G597">
        <v>50</v>
      </c>
      <c r="H597">
        <v>138255</v>
      </c>
      <c r="I597">
        <v>-74.702839999999995</v>
      </c>
      <c r="J597">
        <v>5.1899899999999999</v>
      </c>
      <c r="K597" t="s">
        <v>41</v>
      </c>
      <c r="L597" s="1">
        <v>44614</v>
      </c>
      <c r="M597" s="2" t="s">
        <v>487</v>
      </c>
      <c r="N597" t="s">
        <v>20</v>
      </c>
      <c r="O597" t="s">
        <v>21</v>
      </c>
      <c r="P597" t="s">
        <v>22</v>
      </c>
    </row>
    <row r="598" spans="1:16" x14ac:dyDescent="0.25">
      <c r="A598" t="s">
        <v>16</v>
      </c>
      <c r="B598" t="s">
        <v>17</v>
      </c>
      <c r="C598" t="s">
        <v>18</v>
      </c>
      <c r="D598" s="1">
        <v>44614</v>
      </c>
      <c r="E598" s="2" t="s">
        <v>488</v>
      </c>
      <c r="F598" s="3" t="str">
        <f>HYPERLINK("https://maps.google.com/maps?q=5.19018,-74.69684&amp;ll=5.19018,-74.69684&amp;z=14.75z","Desvío a Guaduas, , Quebradagrande, Guaduas, Cundinamarca")</f>
        <v>Desvío a Guaduas, , Quebradagrande, Guaduas, Cundinamarca</v>
      </c>
      <c r="G598">
        <v>40</v>
      </c>
      <c r="H598">
        <v>138256</v>
      </c>
      <c r="I598">
        <v>-74.696839999999995</v>
      </c>
      <c r="J598">
        <v>5.1901799999999998</v>
      </c>
      <c r="K598" t="s">
        <v>23</v>
      </c>
      <c r="L598" s="1">
        <v>44614</v>
      </c>
      <c r="M598" s="2" t="s">
        <v>488</v>
      </c>
      <c r="N598" t="s">
        <v>20</v>
      </c>
      <c r="O598" t="s">
        <v>21</v>
      </c>
      <c r="P598" t="s">
        <v>22</v>
      </c>
    </row>
    <row r="599" spans="1:16" x14ac:dyDescent="0.25">
      <c r="A599" t="s">
        <v>16</v>
      </c>
      <c r="B599" t="s">
        <v>17</v>
      </c>
      <c r="C599" t="s">
        <v>18</v>
      </c>
      <c r="D599" s="1">
        <v>44614</v>
      </c>
      <c r="E599" s="2" t="s">
        <v>489</v>
      </c>
      <c r="F599" s="3" t="str">
        <f>HYPERLINK("https://maps.google.com/maps?q=5.19629,-74.69456&amp;ll=5.19629,-74.69456&amp;z=14.75z","Aut Bogotá - Medellín, Km 5.28 Puerto Bogotá - Guaduas, , Quebradagrande, Guaduas, Cundinamarca")</f>
        <v>Aut Bogotá - Medellín, Km 5.28 Puerto Bogotá - Guaduas, , Quebradagrande, Guaduas, Cundinamarca</v>
      </c>
      <c r="G599">
        <v>47</v>
      </c>
      <c r="H599">
        <v>138257</v>
      </c>
      <c r="I599">
        <v>-74.694559999999996</v>
      </c>
      <c r="J599">
        <v>5.1962900000000003</v>
      </c>
      <c r="K599" t="s">
        <v>24</v>
      </c>
      <c r="L599" s="1">
        <v>44614</v>
      </c>
      <c r="M599" s="2" t="s">
        <v>489</v>
      </c>
      <c r="N599" t="s">
        <v>20</v>
      </c>
      <c r="O599" t="s">
        <v>21</v>
      </c>
      <c r="P599" t="s">
        <v>22</v>
      </c>
    </row>
    <row r="600" spans="1:16" x14ac:dyDescent="0.25">
      <c r="A600" t="s">
        <v>16</v>
      </c>
      <c r="B600" t="s">
        <v>17</v>
      </c>
      <c r="C600" t="s">
        <v>18</v>
      </c>
      <c r="D600" s="1">
        <v>44614</v>
      </c>
      <c r="E600" s="2" t="s">
        <v>490</v>
      </c>
      <c r="F600" s="3" t="str">
        <f>HYPERLINK("https://maps.google.com/maps?q=5.20218,-74.68999&amp;ll=5.20218,-74.68999&amp;z=14.75z","Aut Bogotá - Medellín, Km 5.9 Puerto Bogotá - Guaduas, , Quebradagrande, Guaduas, Cundinamarca")</f>
        <v>Aut Bogotá - Medellín, Km 5.9 Puerto Bogotá - Guaduas, , Quebradagrande, Guaduas, Cundinamarca</v>
      </c>
      <c r="G600">
        <v>50</v>
      </c>
      <c r="H600">
        <v>138258</v>
      </c>
      <c r="I600">
        <v>-74.689989999999995</v>
      </c>
      <c r="J600">
        <v>5.2021800000000002</v>
      </c>
      <c r="K600" t="s">
        <v>24</v>
      </c>
      <c r="L600" s="1">
        <v>44614</v>
      </c>
      <c r="M600" s="2" t="s">
        <v>490</v>
      </c>
      <c r="N600" t="s">
        <v>20</v>
      </c>
      <c r="O600" t="s">
        <v>21</v>
      </c>
      <c r="P600" t="s">
        <v>22</v>
      </c>
    </row>
    <row r="601" spans="1:16" x14ac:dyDescent="0.25">
      <c r="A601" t="s">
        <v>16</v>
      </c>
      <c r="B601" t="s">
        <v>17</v>
      </c>
      <c r="C601" t="s">
        <v>18</v>
      </c>
      <c r="D601" s="1">
        <v>44614</v>
      </c>
      <c r="E601" s="2" t="s">
        <v>491</v>
      </c>
      <c r="F601" s="3" t="str">
        <f>HYPERLINK("https://maps.google.com/maps?q=5.20316,-74.68487&amp;ll=5.20316,-74.68487&amp;z=14.75z","Aut Bogotá - Medellín, Km 6.71 Puerto Bogotá - Guaduas, , La Palmita, Guaduas, Cundinamarca")</f>
        <v>Aut Bogotá - Medellín, Km 6.71 Puerto Bogotá - Guaduas, , La Palmita, Guaduas, Cundinamarca</v>
      </c>
      <c r="G601">
        <v>11</v>
      </c>
      <c r="H601">
        <v>138258</v>
      </c>
      <c r="I601">
        <v>-74.684870000000004</v>
      </c>
      <c r="J601">
        <v>5.2031599999999996</v>
      </c>
      <c r="K601" t="s">
        <v>33</v>
      </c>
      <c r="L601" s="1">
        <v>44614</v>
      </c>
      <c r="M601" s="2" t="s">
        <v>491</v>
      </c>
      <c r="N601" t="s">
        <v>20</v>
      </c>
      <c r="O601" t="s">
        <v>21</v>
      </c>
      <c r="P601" t="s">
        <v>22</v>
      </c>
    </row>
    <row r="602" spans="1:16" x14ac:dyDescent="0.25">
      <c r="A602" t="s">
        <v>16</v>
      </c>
      <c r="B602" t="s">
        <v>17</v>
      </c>
      <c r="C602" t="s">
        <v>18</v>
      </c>
      <c r="D602" s="1">
        <v>44614</v>
      </c>
      <c r="E602" s="2" t="s">
        <v>293</v>
      </c>
      <c r="F602" s="3" t="str">
        <f>HYPERLINK("https://maps.google.com/maps?q=5.20262,-74.6835&amp;ll=5.20262,-74.6835&amp;z=14.75z","Aut Bogotá - Medellín, Km 6.71 Puerto Bogotá - Guaduas, , La Palmita, Guaduas, Cundinamarca")</f>
        <v>Aut Bogotá - Medellín, Km 6.71 Puerto Bogotá - Guaduas, , La Palmita, Guaduas, Cundinamarca</v>
      </c>
      <c r="G602">
        <v>34</v>
      </c>
      <c r="H602">
        <v>138258</v>
      </c>
      <c r="I602">
        <v>-74.683499999999995</v>
      </c>
      <c r="J602">
        <v>5.2026199999999996</v>
      </c>
      <c r="K602" t="s">
        <v>33</v>
      </c>
      <c r="L602" s="1">
        <v>44614</v>
      </c>
      <c r="M602" s="2" t="s">
        <v>293</v>
      </c>
      <c r="N602" t="s">
        <v>20</v>
      </c>
      <c r="O602" t="s">
        <v>21</v>
      </c>
      <c r="P602" t="s">
        <v>22</v>
      </c>
    </row>
    <row r="603" spans="1:16" x14ac:dyDescent="0.25">
      <c r="A603" t="s">
        <v>16</v>
      </c>
      <c r="B603" t="s">
        <v>17</v>
      </c>
      <c r="C603" t="s">
        <v>18</v>
      </c>
      <c r="D603" s="1">
        <v>44614</v>
      </c>
      <c r="E603" s="2" t="s">
        <v>492</v>
      </c>
      <c r="F603" s="3" t="str">
        <f>HYPERLINK("https://maps.google.com/maps?q=5.20329,-74.67857&amp;ll=5.20329,-74.67857&amp;z=14.75z","Aut Bogotá - Medellín, Km 7.53 Puerto Bogotá - Guaduas, , La Palmita, Guaduas, Cundinamarca")</f>
        <v>Aut Bogotá - Medellín, Km 7.53 Puerto Bogotá - Guaduas, , La Palmita, Guaduas, Cundinamarca</v>
      </c>
      <c r="G603">
        <v>34</v>
      </c>
      <c r="H603">
        <v>138259</v>
      </c>
      <c r="I603">
        <v>-74.678569999999993</v>
      </c>
      <c r="J603">
        <v>5.20329</v>
      </c>
      <c r="K603" t="s">
        <v>24</v>
      </c>
      <c r="L603" s="1">
        <v>44614</v>
      </c>
      <c r="M603" s="2" t="s">
        <v>492</v>
      </c>
      <c r="N603" t="s">
        <v>20</v>
      </c>
      <c r="O603" t="s">
        <v>21</v>
      </c>
      <c r="P603" t="s">
        <v>22</v>
      </c>
    </row>
    <row r="604" spans="1:16" x14ac:dyDescent="0.25">
      <c r="A604" t="s">
        <v>16</v>
      </c>
      <c r="B604" t="s">
        <v>17</v>
      </c>
      <c r="C604" t="s">
        <v>18</v>
      </c>
      <c r="D604" s="1">
        <v>44614</v>
      </c>
      <c r="E604" s="2" t="s">
        <v>493</v>
      </c>
      <c r="F604" s="3" t="str">
        <f>HYPERLINK("https://maps.google.com/maps?q=5.20238,-74.67735&amp;ll=5.20238,-74.67735&amp;z=14.75z","Aut Bogotá - Medellín, Km 7.95 Puerto Bogotá - Guaduas, , La Palmita, Guaduas, Cundinamarca")</f>
        <v>Aut Bogotá - Medellín, Km 7.95 Puerto Bogotá - Guaduas, , La Palmita, Guaduas, Cundinamarca</v>
      </c>
      <c r="G604">
        <v>24</v>
      </c>
      <c r="H604">
        <v>138259</v>
      </c>
      <c r="I604">
        <v>-74.677350000000004</v>
      </c>
      <c r="J604">
        <v>5.2023799999999998</v>
      </c>
      <c r="K604" t="s">
        <v>30</v>
      </c>
      <c r="L604" s="1">
        <v>44614</v>
      </c>
      <c r="M604" s="2" t="s">
        <v>493</v>
      </c>
      <c r="N604" t="s">
        <v>20</v>
      </c>
      <c r="O604" t="s">
        <v>21</v>
      </c>
      <c r="P604" t="s">
        <v>22</v>
      </c>
    </row>
    <row r="605" spans="1:16" x14ac:dyDescent="0.25">
      <c r="A605" t="s">
        <v>16</v>
      </c>
      <c r="B605" t="s">
        <v>17</v>
      </c>
      <c r="C605" t="s">
        <v>18</v>
      </c>
      <c r="D605" s="1">
        <v>44614</v>
      </c>
      <c r="E605" s="2" t="s">
        <v>493</v>
      </c>
      <c r="F605" s="3" t="str">
        <f>HYPERLINK("https://maps.google.com/maps?q=5.19951,-74.67572&amp;ll=5.19951,-74.67572&amp;z=14.75z","Aut Bogotá - Medellín, Km 8.32 Puerto Bogotá - Guaduas, , La Palmita, Guaduas, Cundinamarca")</f>
        <v>Aut Bogotá - Medellín, Km 8.32 Puerto Bogotá - Guaduas, , La Palmita, Guaduas, Cundinamarca</v>
      </c>
      <c r="G605">
        <v>18</v>
      </c>
      <c r="H605">
        <v>138260</v>
      </c>
      <c r="I605">
        <v>-74.675719999999998</v>
      </c>
      <c r="J605">
        <v>5.1995100000000001</v>
      </c>
      <c r="K605" t="s">
        <v>31</v>
      </c>
      <c r="L605" s="1">
        <v>44614</v>
      </c>
      <c r="M605" s="2" t="s">
        <v>494</v>
      </c>
      <c r="N605" t="s">
        <v>20</v>
      </c>
      <c r="O605" t="s">
        <v>21</v>
      </c>
      <c r="P605" t="s">
        <v>22</v>
      </c>
    </row>
    <row r="606" spans="1:16" x14ac:dyDescent="0.25">
      <c r="A606" t="s">
        <v>16</v>
      </c>
      <c r="B606" t="s">
        <v>17</v>
      </c>
      <c r="C606" t="s">
        <v>18</v>
      </c>
      <c r="D606" s="1">
        <v>44614</v>
      </c>
      <c r="E606" s="2" t="s">
        <v>495</v>
      </c>
      <c r="F606" s="3" t="str">
        <f>HYPERLINK("https://maps.google.com/maps?q=5.1952,-74.67301&amp;ll=5.1952,-74.67301&amp;z=14.75z","Aut Bogotá - Medellín, Km 9.09 Puerto Bogotá - Guaduas, , La Palmita, Guaduas, Cundinamarca")</f>
        <v>Aut Bogotá - Medellín, Km 9.09 Puerto Bogotá - Guaduas, , La Palmita, Guaduas, Cundinamarca</v>
      </c>
      <c r="G606">
        <v>21</v>
      </c>
      <c r="H606">
        <v>138260</v>
      </c>
      <c r="I606">
        <v>-74.673010000000005</v>
      </c>
      <c r="J606">
        <v>5.1951999999999998</v>
      </c>
      <c r="K606" t="s">
        <v>30</v>
      </c>
      <c r="L606" s="1">
        <v>44614</v>
      </c>
      <c r="M606" s="2" t="s">
        <v>495</v>
      </c>
      <c r="N606" t="s">
        <v>20</v>
      </c>
      <c r="O606" t="s">
        <v>21</v>
      </c>
      <c r="P606" t="s">
        <v>22</v>
      </c>
    </row>
    <row r="607" spans="1:16" x14ac:dyDescent="0.25">
      <c r="A607" t="s">
        <v>16</v>
      </c>
      <c r="B607" t="s">
        <v>17</v>
      </c>
      <c r="C607" t="s">
        <v>18</v>
      </c>
      <c r="D607" s="1">
        <v>44614</v>
      </c>
      <c r="E607" s="2" t="s">
        <v>496</v>
      </c>
      <c r="F607" s="3" t="str">
        <f>HYPERLINK("https://maps.google.com/maps?q=5.19331,-74.67267&amp;ll=5.19331,-74.67267&amp;z=14.75z","Aut Bogotá - Medellín, Km 9.45 Puerto Bogotá - Guaduas, , La Palmita, Guaduas, Cundinamarca")</f>
        <v>Aut Bogotá - Medellín, Km 9.45 Puerto Bogotá - Guaduas, , La Palmita, Guaduas, Cundinamarca</v>
      </c>
      <c r="G607">
        <v>21</v>
      </c>
      <c r="H607">
        <v>138261</v>
      </c>
      <c r="I607">
        <v>-74.672669999999997</v>
      </c>
      <c r="J607">
        <v>5.1933100000000003</v>
      </c>
      <c r="K607" t="s">
        <v>41</v>
      </c>
      <c r="L607" s="1">
        <v>44614</v>
      </c>
      <c r="M607" s="2" t="s">
        <v>496</v>
      </c>
      <c r="N607" t="s">
        <v>20</v>
      </c>
      <c r="O607" t="s">
        <v>21</v>
      </c>
      <c r="P607" t="s">
        <v>22</v>
      </c>
    </row>
    <row r="608" spans="1:16" x14ac:dyDescent="0.25">
      <c r="A608" t="s">
        <v>16</v>
      </c>
      <c r="B608" t="s">
        <v>17</v>
      </c>
      <c r="C608" t="s">
        <v>18</v>
      </c>
      <c r="D608" s="1">
        <v>44614</v>
      </c>
      <c r="E608" s="2" t="s">
        <v>497</v>
      </c>
      <c r="F608" s="3" t="str">
        <f>HYPERLINK("https://maps.google.com/maps?q=5.19206,-74.6721&amp;ll=5.19206,-74.6721&amp;z=14.75z","Aut Bogotá - Medellín, Km 9.87 Puerto Bogotá - Guaduas, , La Palmita, Guaduas, Cundinamarca")</f>
        <v>Aut Bogotá - Medellín, Km 9.87 Puerto Bogotá - Guaduas, , La Palmita, Guaduas, Cundinamarca</v>
      </c>
      <c r="G608">
        <v>33</v>
      </c>
      <c r="H608">
        <v>138261</v>
      </c>
      <c r="I608">
        <v>-74.6721</v>
      </c>
      <c r="J608">
        <v>5.1920599999999997</v>
      </c>
      <c r="K608" t="s">
        <v>24</v>
      </c>
      <c r="L608" s="1">
        <v>44614</v>
      </c>
      <c r="M608" s="2" t="s">
        <v>497</v>
      </c>
      <c r="N608" t="s">
        <v>20</v>
      </c>
      <c r="O608" t="s">
        <v>21</v>
      </c>
      <c r="P608" t="s">
        <v>22</v>
      </c>
    </row>
    <row r="609" spans="1:16" x14ac:dyDescent="0.25">
      <c r="A609" t="s">
        <v>16</v>
      </c>
      <c r="B609" t="s">
        <v>17</v>
      </c>
      <c r="C609" t="s">
        <v>18</v>
      </c>
      <c r="D609" s="1">
        <v>44614</v>
      </c>
      <c r="E609" s="2" t="s">
        <v>321</v>
      </c>
      <c r="F609" s="3" t="str">
        <f>HYPERLINK("https://maps.google.com/maps?q=5.18819,-74.66922&amp;ll=5.18819,-74.66922&amp;z=14.75z","Aut Bogotá - Medellín, Km 10.43 Puerto Bogotá - Guaduas, , La Palmita, Guaduas, Cundinamarca")</f>
        <v>Aut Bogotá - Medellín, Km 10.43 Puerto Bogotá - Guaduas, , La Palmita, Guaduas, Cundinamarca</v>
      </c>
      <c r="G609">
        <v>40</v>
      </c>
      <c r="H609">
        <v>138262</v>
      </c>
      <c r="I609">
        <v>-74.669219999999996</v>
      </c>
      <c r="J609">
        <v>5.1881899999999996</v>
      </c>
      <c r="K609" t="s">
        <v>31</v>
      </c>
      <c r="L609" s="1">
        <v>44614</v>
      </c>
      <c r="M609" s="2" t="s">
        <v>321</v>
      </c>
      <c r="N609" t="s">
        <v>20</v>
      </c>
      <c r="O609" t="s">
        <v>21</v>
      </c>
      <c r="P609" t="s">
        <v>22</v>
      </c>
    </row>
    <row r="610" spans="1:16" x14ac:dyDescent="0.25">
      <c r="A610" t="s">
        <v>16</v>
      </c>
      <c r="B610" t="s">
        <v>17</v>
      </c>
      <c r="C610" t="s">
        <v>18</v>
      </c>
      <c r="D610" s="1">
        <v>44614</v>
      </c>
      <c r="E610" s="2" t="s">
        <v>498</v>
      </c>
      <c r="F610" s="3" t="str">
        <f>HYPERLINK("https://maps.google.com/maps?q=5.18679,-74.6676&amp;ll=5.18679,-74.6676&amp;z=14.75z","Aut Bogotá - Medellín, Km 11.06 Puerto Bogotá - Guaduas, , La Palmita, Guaduas, Cundinamarca")</f>
        <v>Aut Bogotá - Medellín, Km 11.06 Puerto Bogotá - Guaduas, , La Palmita, Guaduas, Cundinamarca</v>
      </c>
      <c r="G610">
        <v>30</v>
      </c>
      <c r="H610">
        <v>138262</v>
      </c>
      <c r="I610">
        <v>-74.667599999999993</v>
      </c>
      <c r="J610">
        <v>5.1867900000000002</v>
      </c>
      <c r="K610" t="s">
        <v>24</v>
      </c>
      <c r="L610" s="1">
        <v>44614</v>
      </c>
      <c r="M610" s="2" t="s">
        <v>498</v>
      </c>
      <c r="N610" t="s">
        <v>20</v>
      </c>
      <c r="O610" t="s">
        <v>21</v>
      </c>
      <c r="P610" t="s">
        <v>22</v>
      </c>
    </row>
    <row r="611" spans="1:16" x14ac:dyDescent="0.25">
      <c r="A611" t="s">
        <v>16</v>
      </c>
      <c r="B611" t="s">
        <v>17</v>
      </c>
      <c r="C611" t="s">
        <v>18</v>
      </c>
      <c r="D611" s="1">
        <v>44614</v>
      </c>
      <c r="E611" s="2" t="s">
        <v>499</v>
      </c>
      <c r="F611" s="3" t="str">
        <f>HYPERLINK("https://maps.google.com/maps?q=5.1855,-74.66484&amp;ll=5.1855,-74.66484&amp;z=14.75z","Aut Bogotá - Medellín, Km 11.56 Puerto Bogotá - Guaduas, , La Palmita, Guaduas, Cundinamarca")</f>
        <v>Aut Bogotá - Medellín, Km 11.56 Puerto Bogotá - Guaduas, , La Palmita, Guaduas, Cundinamarca</v>
      </c>
      <c r="G611">
        <v>35</v>
      </c>
      <c r="H611">
        <v>138263</v>
      </c>
      <c r="I611">
        <v>-74.664839999999998</v>
      </c>
      <c r="J611">
        <v>5.1855000000000002</v>
      </c>
      <c r="K611" t="s">
        <v>33</v>
      </c>
      <c r="L611" s="1">
        <v>44614</v>
      </c>
      <c r="M611" s="2" t="s">
        <v>499</v>
      </c>
      <c r="N611" t="s">
        <v>20</v>
      </c>
      <c r="O611" t="s">
        <v>21</v>
      </c>
      <c r="P611" t="s">
        <v>22</v>
      </c>
    </row>
    <row r="612" spans="1:16" x14ac:dyDescent="0.25">
      <c r="A612" t="s">
        <v>16</v>
      </c>
      <c r="B612" t="s">
        <v>17</v>
      </c>
      <c r="C612" t="s">
        <v>18</v>
      </c>
      <c r="D612" s="1">
        <v>44614</v>
      </c>
      <c r="E612" s="2" t="s">
        <v>500</v>
      </c>
      <c r="F612" s="3" t="str">
        <f>HYPERLINK("https://maps.google.com/maps?q=5.18691,-74.66185&amp;ll=5.18691,-74.66185&amp;z=14.75z","Aut Bogotá - Medellín, Km 12.1 Puerto Bogotá - Guaduas, , La Palmita, Guaduas, Cundinamarca")</f>
        <v>Aut Bogotá - Medellín, Km 12.1 Puerto Bogotá - Guaduas, , La Palmita, Guaduas, Cundinamarca</v>
      </c>
      <c r="G612">
        <v>36</v>
      </c>
      <c r="H612">
        <v>138263</v>
      </c>
      <c r="I612">
        <v>-74.661850000000001</v>
      </c>
      <c r="J612">
        <v>5.1869100000000001</v>
      </c>
      <c r="K612" t="s">
        <v>33</v>
      </c>
      <c r="L612" s="1">
        <v>44614</v>
      </c>
      <c r="M612" s="2" t="s">
        <v>500</v>
      </c>
      <c r="N612" t="s">
        <v>20</v>
      </c>
      <c r="O612" t="s">
        <v>21</v>
      </c>
      <c r="P612" t="s">
        <v>22</v>
      </c>
    </row>
    <row r="613" spans="1:16" x14ac:dyDescent="0.25">
      <c r="A613" t="s">
        <v>16</v>
      </c>
      <c r="B613" t="s">
        <v>17</v>
      </c>
      <c r="C613" t="s">
        <v>18</v>
      </c>
      <c r="D613" s="1">
        <v>44614</v>
      </c>
      <c r="E613" s="2" t="s">
        <v>501</v>
      </c>
      <c r="F613" s="3" t="str">
        <f>HYPERLINK("https://maps.google.com/maps?q=5.1835,-74.65924&amp;ll=5.1835,-74.65924&amp;z=14.75z","Aut Bogotá - Medellín, Km 12.7 Puerto Bogotá - Guaduas, , La Palmita, Guaduas, Cundinamarca")</f>
        <v>Aut Bogotá - Medellín, Km 12.7 Puerto Bogotá - Guaduas, , La Palmita, Guaduas, Cundinamarca</v>
      </c>
      <c r="G613">
        <v>25</v>
      </c>
      <c r="H613">
        <v>138264</v>
      </c>
      <c r="I613">
        <v>-74.659239999999997</v>
      </c>
      <c r="J613">
        <v>5.1835000000000004</v>
      </c>
      <c r="K613" t="s">
        <v>31</v>
      </c>
      <c r="L613" s="1">
        <v>44614</v>
      </c>
      <c r="M613" s="2" t="s">
        <v>501</v>
      </c>
      <c r="N613" t="s">
        <v>20</v>
      </c>
      <c r="O613" t="s">
        <v>21</v>
      </c>
      <c r="P613" t="s">
        <v>22</v>
      </c>
    </row>
    <row r="614" spans="1:16" x14ac:dyDescent="0.25">
      <c r="A614" t="s">
        <v>16</v>
      </c>
      <c r="B614" t="s">
        <v>17</v>
      </c>
      <c r="C614" t="s">
        <v>18</v>
      </c>
      <c r="D614" s="1">
        <v>44614</v>
      </c>
      <c r="E614" s="2" t="s">
        <v>502</v>
      </c>
      <c r="F614" s="3" t="str">
        <f>HYPERLINK("https://maps.google.com/maps?q=5.18093,-74.65925&amp;ll=5.18093,-74.65925&amp;z=14.75z","Aut Bogotá - Medellín, Km 13.13 Puerto Bogotá - Guaduas, , La Palmita, Guaduas, Cundinamarca")</f>
        <v>Aut Bogotá - Medellín, Km 13.13 Puerto Bogotá - Guaduas, , La Palmita, Guaduas, Cundinamarca</v>
      </c>
      <c r="G614">
        <v>21</v>
      </c>
      <c r="H614">
        <v>138264</v>
      </c>
      <c r="I614">
        <v>-74.65925</v>
      </c>
      <c r="J614">
        <v>5.18093</v>
      </c>
      <c r="K614" t="s">
        <v>31</v>
      </c>
      <c r="L614" s="1">
        <v>44614</v>
      </c>
      <c r="M614" s="2" t="s">
        <v>502</v>
      </c>
      <c r="N614" t="s">
        <v>20</v>
      </c>
      <c r="O614" t="s">
        <v>21</v>
      </c>
      <c r="P614" t="s">
        <v>22</v>
      </c>
    </row>
    <row r="615" spans="1:16" x14ac:dyDescent="0.25">
      <c r="A615" t="s">
        <v>16</v>
      </c>
      <c r="B615" t="s">
        <v>17</v>
      </c>
      <c r="C615" t="s">
        <v>18</v>
      </c>
      <c r="D615" s="1">
        <v>44614</v>
      </c>
      <c r="E615" s="2" t="s">
        <v>503</v>
      </c>
      <c r="F615" s="3" t="str">
        <f>HYPERLINK("https://maps.google.com/maps?q=5.18044,-74.65803&amp;ll=5.18044,-74.65803&amp;z=14.75z","Aut Bogotá - Medellín, Km 13.59 Puerto Bogotá - Guaduas, , La Palmita, Guaduas, Cundinamarca")</f>
        <v>Aut Bogotá - Medellín, Km 13.59 Puerto Bogotá - Guaduas, , La Palmita, Guaduas, Cundinamarca</v>
      </c>
      <c r="G615">
        <v>31</v>
      </c>
      <c r="H615">
        <v>138264</v>
      </c>
      <c r="I615">
        <v>-74.658029999999997</v>
      </c>
      <c r="J615">
        <v>5.1804399999999999</v>
      </c>
      <c r="K615" t="s">
        <v>23</v>
      </c>
      <c r="L615" s="1">
        <v>44614</v>
      </c>
      <c r="M615" s="2" t="s">
        <v>503</v>
      </c>
      <c r="N615" t="s">
        <v>20</v>
      </c>
      <c r="O615" t="s">
        <v>21</v>
      </c>
      <c r="P615" t="s">
        <v>22</v>
      </c>
    </row>
    <row r="616" spans="1:16" x14ac:dyDescent="0.25">
      <c r="A616" t="s">
        <v>16</v>
      </c>
      <c r="B616" t="s">
        <v>17</v>
      </c>
      <c r="C616" t="s">
        <v>18</v>
      </c>
      <c r="D616" s="1">
        <v>44614</v>
      </c>
      <c r="E616" s="2" t="s">
        <v>504</v>
      </c>
      <c r="F616" s="3" t="str">
        <f>HYPERLINK("https://maps.google.com/maps?q=5.17906,-74.65518&amp;ll=5.17906,-74.65518&amp;z=14.75z","Aut Bogotá - Medellín, Km 14.02 Puerto Bogotá - Guaduas, , La Palmita, Guaduas, Cundinamarca")</f>
        <v>Aut Bogotá - Medellín, Km 14.02 Puerto Bogotá - Guaduas, , La Palmita, Guaduas, Cundinamarca</v>
      </c>
      <c r="G616">
        <v>27</v>
      </c>
      <c r="H616">
        <v>138265</v>
      </c>
      <c r="I616">
        <v>-74.655180000000001</v>
      </c>
      <c r="J616">
        <v>5.1790599999999998</v>
      </c>
      <c r="K616" t="s">
        <v>41</v>
      </c>
      <c r="L616" s="1">
        <v>44614</v>
      </c>
      <c r="M616" s="2" t="s">
        <v>504</v>
      </c>
      <c r="N616" t="s">
        <v>20</v>
      </c>
      <c r="O616" t="s">
        <v>21</v>
      </c>
      <c r="P616" t="s">
        <v>22</v>
      </c>
    </row>
    <row r="617" spans="1:16" x14ac:dyDescent="0.25">
      <c r="A617" t="s">
        <v>16</v>
      </c>
      <c r="B617" t="s">
        <v>17</v>
      </c>
      <c r="C617" t="s">
        <v>18</v>
      </c>
      <c r="D617" s="1">
        <v>44614</v>
      </c>
      <c r="E617" s="2" t="s">
        <v>505</v>
      </c>
      <c r="F617" s="3" t="str">
        <f>HYPERLINK("https://maps.google.com/maps?q=5.17548,-74.65529&amp;ll=5.17548,-74.65529&amp;z=14.75z","Aut Bogotá - Medellín, Km 14.52 Puerto Bogotá - Guaduas, , La Palmita, Guaduas, Cundinamarca")</f>
        <v>Aut Bogotá - Medellín, Km 14.52 Puerto Bogotá - Guaduas, , La Palmita, Guaduas, Cundinamarca</v>
      </c>
      <c r="G617">
        <v>30</v>
      </c>
      <c r="H617">
        <v>138265</v>
      </c>
      <c r="I617">
        <v>-74.655289999999994</v>
      </c>
      <c r="J617">
        <v>5.1754800000000003</v>
      </c>
      <c r="K617" t="s">
        <v>33</v>
      </c>
      <c r="L617" s="1">
        <v>44614</v>
      </c>
      <c r="M617" s="2" t="s">
        <v>505</v>
      </c>
      <c r="N617" t="s">
        <v>20</v>
      </c>
      <c r="O617" t="s">
        <v>21</v>
      </c>
      <c r="P617" t="s">
        <v>22</v>
      </c>
    </row>
    <row r="618" spans="1:16" x14ac:dyDescent="0.25">
      <c r="A618" t="s">
        <v>16</v>
      </c>
      <c r="B618" t="s">
        <v>17</v>
      </c>
      <c r="C618" t="s">
        <v>18</v>
      </c>
      <c r="D618" s="1">
        <v>44614</v>
      </c>
      <c r="E618" s="2" t="s">
        <v>506</v>
      </c>
      <c r="F618" s="3" t="str">
        <f>HYPERLINK("https://maps.google.com/maps?q=5.17531,-74.65342&amp;ll=5.17531,-74.65342&amp;z=14.75z","Aut Bogotá - Medellín, Km 15.03 Puerto Bogotá - Guaduas, , La Palmita, Guaduas, Cundinamarca")</f>
        <v>Aut Bogotá - Medellín, Km 15.03 Puerto Bogotá - Guaduas, , La Palmita, Guaduas, Cundinamarca</v>
      </c>
      <c r="G618">
        <v>28</v>
      </c>
      <c r="H618">
        <v>138266</v>
      </c>
      <c r="I618">
        <v>-74.653419999999997</v>
      </c>
      <c r="J618">
        <v>5.1753099999999996</v>
      </c>
      <c r="K618" t="s">
        <v>41</v>
      </c>
      <c r="L618" s="1">
        <v>44614</v>
      </c>
      <c r="M618" s="2" t="s">
        <v>506</v>
      </c>
      <c r="N618" t="s">
        <v>20</v>
      </c>
      <c r="O618" t="s">
        <v>21</v>
      </c>
      <c r="P618" t="s">
        <v>22</v>
      </c>
    </row>
    <row r="619" spans="1:16" x14ac:dyDescent="0.25">
      <c r="A619" t="s">
        <v>16</v>
      </c>
      <c r="B619" t="s">
        <v>17</v>
      </c>
      <c r="C619" t="s">
        <v>18</v>
      </c>
      <c r="D619" s="1">
        <v>44614</v>
      </c>
      <c r="E619" s="2" t="s">
        <v>506</v>
      </c>
      <c r="F619" s="3" t="str">
        <f>HYPERLINK("https://maps.google.com/maps?q=5.1717,-74.65229&amp;ll=5.1717,-74.65229&amp;z=14.75z","Aut Bogotá - Medellín, Km 15.48 Puerto Bogotá - Guaduas, , La Palmita, Guaduas, Cundinamarca")</f>
        <v>Aut Bogotá - Medellín, Km 15.48 Puerto Bogotá - Guaduas, , La Palmita, Guaduas, Cundinamarca</v>
      </c>
      <c r="G619">
        <v>26</v>
      </c>
      <c r="H619">
        <v>138266</v>
      </c>
      <c r="I619">
        <v>-74.652289999999994</v>
      </c>
      <c r="J619">
        <v>5.1717000000000004</v>
      </c>
      <c r="K619" t="s">
        <v>33</v>
      </c>
      <c r="L619" s="1">
        <v>44614</v>
      </c>
      <c r="M619" s="2" t="s">
        <v>507</v>
      </c>
      <c r="N619" t="s">
        <v>20</v>
      </c>
      <c r="O619" t="s">
        <v>21</v>
      </c>
      <c r="P619" t="s">
        <v>22</v>
      </c>
    </row>
    <row r="620" spans="1:16" x14ac:dyDescent="0.25">
      <c r="A620" t="s">
        <v>16</v>
      </c>
      <c r="B620" t="s">
        <v>17</v>
      </c>
      <c r="C620" t="s">
        <v>18</v>
      </c>
      <c r="D620" s="1">
        <v>44614</v>
      </c>
      <c r="E620" s="2" t="s">
        <v>507</v>
      </c>
      <c r="F620" s="3" t="str">
        <f>HYPERLINK("https://maps.google.com/maps?q=5.16923,-74.65013&amp;ll=5.16923,-74.65013&amp;z=14.75z","Aut Bogotá - Medellín, Km 15.91 Puerto Bogotá - Guaduas, , La Palmita, Guaduas, Cundinamarca")</f>
        <v>Aut Bogotá - Medellín, Km 15.91 Puerto Bogotá - Guaduas, , La Palmita, Guaduas, Cundinamarca</v>
      </c>
      <c r="G620">
        <v>28</v>
      </c>
      <c r="H620">
        <v>138266</v>
      </c>
      <c r="I620">
        <v>-74.650130000000004</v>
      </c>
      <c r="J620">
        <v>5.1692299999999998</v>
      </c>
      <c r="K620" t="s">
        <v>31</v>
      </c>
      <c r="L620" s="1">
        <v>44614</v>
      </c>
      <c r="M620" s="2" t="s">
        <v>508</v>
      </c>
      <c r="N620" t="s">
        <v>20</v>
      </c>
      <c r="O620" t="s">
        <v>21</v>
      </c>
      <c r="P620" t="s">
        <v>22</v>
      </c>
    </row>
    <row r="621" spans="1:16" x14ac:dyDescent="0.25">
      <c r="A621" t="s">
        <v>16</v>
      </c>
      <c r="B621" t="s">
        <v>17</v>
      </c>
      <c r="C621" t="s">
        <v>18</v>
      </c>
      <c r="D621" s="1">
        <v>44614</v>
      </c>
      <c r="E621" s="2" t="s">
        <v>508</v>
      </c>
      <c r="F621" s="3" t="str">
        <f>HYPERLINK("https://maps.google.com/maps?q=5.16557,-74.6506&amp;ll=5.16557,-74.6506&amp;z=14.75z","Aut Bogotá - Medellín, Km 16.3 Puerto Bogotá - Guaduas, , La Palmita, Guaduas, Cundinamarca")</f>
        <v>Aut Bogotá - Medellín, Km 16.3 Puerto Bogotá - Guaduas, , La Palmita, Guaduas, Cundinamarca</v>
      </c>
      <c r="G621">
        <v>22</v>
      </c>
      <c r="H621">
        <v>138267</v>
      </c>
      <c r="I621">
        <v>-74.650599999999997</v>
      </c>
      <c r="J621">
        <v>5.1655699999999998</v>
      </c>
      <c r="K621" t="s">
        <v>31</v>
      </c>
      <c r="L621" s="1">
        <v>44614</v>
      </c>
      <c r="M621" s="2" t="s">
        <v>508</v>
      </c>
      <c r="N621" t="s">
        <v>20</v>
      </c>
      <c r="O621" t="s">
        <v>21</v>
      </c>
      <c r="P621" t="s">
        <v>22</v>
      </c>
    </row>
    <row r="622" spans="1:16" x14ac:dyDescent="0.25">
      <c r="A622" t="s">
        <v>16</v>
      </c>
      <c r="B622" t="s">
        <v>17</v>
      </c>
      <c r="C622" t="s">
        <v>18</v>
      </c>
      <c r="D622" s="1">
        <v>44614</v>
      </c>
      <c r="E622" s="2" t="s">
        <v>509</v>
      </c>
      <c r="F622" s="3" t="str">
        <f>HYPERLINK("https://maps.google.com/maps?q=5.16159,-74.65157&amp;ll=5.16159,-74.65157&amp;z=14.75z","Aut Bogotá - Medellín, Km 16.85 Puerto Bogotá - Guaduas, , La Palmita, Guaduas, Cundinamarca")</f>
        <v>Aut Bogotá - Medellín, Km 16.85 Puerto Bogotá - Guaduas, , La Palmita, Guaduas, Cundinamarca</v>
      </c>
      <c r="G622">
        <v>23</v>
      </c>
      <c r="H622">
        <v>138267</v>
      </c>
      <c r="I622">
        <v>-74.651570000000007</v>
      </c>
      <c r="J622">
        <v>5.1615900000000003</v>
      </c>
      <c r="K622" t="s">
        <v>31</v>
      </c>
      <c r="L622" s="1">
        <v>44614</v>
      </c>
      <c r="M622" s="2" t="s">
        <v>509</v>
      </c>
      <c r="N622" t="s">
        <v>20</v>
      </c>
      <c r="O622" t="s">
        <v>21</v>
      </c>
      <c r="P622" t="s">
        <v>22</v>
      </c>
    </row>
    <row r="623" spans="1:16" x14ac:dyDescent="0.25">
      <c r="A623" t="s">
        <v>16</v>
      </c>
      <c r="B623" t="s">
        <v>17</v>
      </c>
      <c r="C623" t="s">
        <v>18</v>
      </c>
      <c r="D623" s="1">
        <v>44614</v>
      </c>
      <c r="E623" s="2" t="s">
        <v>510</v>
      </c>
      <c r="F623" s="3" t="str">
        <f>HYPERLINK("https://maps.google.com/maps?q=5.15786,-74.65074&amp;ll=5.15786,-74.65074&amp;z=14.75z","Aut Bogotá - Medellín, Km 17.33 Puerto Bogotá - Guaduas, , La Palmita, Guaduas, Cundinamarca")</f>
        <v>Aut Bogotá - Medellín, Km 17.33 Puerto Bogotá - Guaduas, , La Palmita, Guaduas, Cundinamarca</v>
      </c>
      <c r="G623">
        <v>26</v>
      </c>
      <c r="H623">
        <v>138268</v>
      </c>
      <c r="I623">
        <v>-74.650739999999999</v>
      </c>
      <c r="J623">
        <v>5.1578600000000003</v>
      </c>
      <c r="K623" t="s">
        <v>31</v>
      </c>
      <c r="L623" s="1">
        <v>44614</v>
      </c>
      <c r="M623" s="2" t="s">
        <v>510</v>
      </c>
      <c r="N623" t="s">
        <v>20</v>
      </c>
      <c r="O623" t="s">
        <v>21</v>
      </c>
      <c r="P623" t="s">
        <v>22</v>
      </c>
    </row>
    <row r="624" spans="1:16" x14ac:dyDescent="0.25">
      <c r="A624" t="s">
        <v>16</v>
      </c>
      <c r="B624" t="s">
        <v>17</v>
      </c>
      <c r="C624" t="s">
        <v>18</v>
      </c>
      <c r="D624" s="1">
        <v>44614</v>
      </c>
      <c r="E624" s="2" t="s">
        <v>511</v>
      </c>
      <c r="F624" s="3" t="str">
        <f>HYPERLINK("https://maps.google.com/maps?q=5.15471,-74.6498&amp;ll=5.15471,-74.6498&amp;z=14.75z","Aut Bogotá - Medellín, Km 17.75 Puerto Bogotá - Guaduas, , Acuapal, Guaduas, Cundinamarca")</f>
        <v>Aut Bogotá - Medellín, Km 17.75 Puerto Bogotá - Guaduas, , Acuapal, Guaduas, Cundinamarca</v>
      </c>
      <c r="G624">
        <v>22</v>
      </c>
      <c r="H624">
        <v>138268</v>
      </c>
      <c r="I624">
        <v>-74.649799999999999</v>
      </c>
      <c r="J624">
        <v>5.1547099999999997</v>
      </c>
      <c r="K624" t="s">
        <v>30</v>
      </c>
      <c r="L624" s="1">
        <v>44614</v>
      </c>
      <c r="M624" s="2" t="s">
        <v>511</v>
      </c>
      <c r="N624" t="s">
        <v>20</v>
      </c>
      <c r="O624" t="s">
        <v>21</v>
      </c>
      <c r="P624" t="s">
        <v>22</v>
      </c>
    </row>
    <row r="625" spans="1:16" x14ac:dyDescent="0.25">
      <c r="A625" t="s">
        <v>16</v>
      </c>
      <c r="B625" t="s">
        <v>17</v>
      </c>
      <c r="C625" t="s">
        <v>18</v>
      </c>
      <c r="D625" s="1">
        <v>44614</v>
      </c>
      <c r="E625" s="2" t="s">
        <v>512</v>
      </c>
      <c r="F625" s="3" t="str">
        <f>HYPERLINK("https://maps.google.com/maps?q=5.15158,-74.65031&amp;ll=5.15158,-74.65031&amp;z=14.75z","Aut Bogotá - Medellín, Km 18.14 Puerto Bogotá - Guaduas, , Acuapal, Guaduas, Cundinamarca")</f>
        <v>Aut Bogotá - Medellín, Km 18.14 Puerto Bogotá - Guaduas, , Acuapal, Guaduas, Cundinamarca</v>
      </c>
      <c r="G625">
        <v>21</v>
      </c>
      <c r="H625">
        <v>138268</v>
      </c>
      <c r="I625">
        <v>-74.650310000000005</v>
      </c>
      <c r="J625">
        <v>5.15158</v>
      </c>
      <c r="K625" t="s">
        <v>31</v>
      </c>
      <c r="L625" s="1">
        <v>44614</v>
      </c>
      <c r="M625" s="2" t="s">
        <v>512</v>
      </c>
      <c r="N625" t="s">
        <v>20</v>
      </c>
      <c r="O625" t="s">
        <v>21</v>
      </c>
      <c r="P625" t="s">
        <v>22</v>
      </c>
    </row>
    <row r="626" spans="1:16" x14ac:dyDescent="0.25">
      <c r="A626" t="s">
        <v>16</v>
      </c>
      <c r="B626" t="s">
        <v>17</v>
      </c>
      <c r="C626" t="s">
        <v>18</v>
      </c>
      <c r="D626" s="1">
        <v>44614</v>
      </c>
      <c r="E626" s="2" t="s">
        <v>513</v>
      </c>
      <c r="F626" s="3" t="str">
        <f>HYPERLINK("https://maps.google.com/maps?q=5.14997,-74.64772&amp;ll=5.14997,-74.64772&amp;z=14.75z","Aut Bogotá - Medellín, Km 18.51 Puerto Bogotá - Guaduas, , Acuapal, Guaduas, Cundinamarca")</f>
        <v>Aut Bogotá - Medellín, Km 18.51 Puerto Bogotá - Guaduas, , Acuapal, Guaduas, Cundinamarca</v>
      </c>
      <c r="G626">
        <v>19</v>
      </c>
      <c r="H626">
        <v>138269</v>
      </c>
      <c r="I626">
        <v>-74.647720000000007</v>
      </c>
      <c r="J626">
        <v>5.1499699999999997</v>
      </c>
      <c r="K626" t="s">
        <v>33</v>
      </c>
      <c r="L626" s="1">
        <v>44614</v>
      </c>
      <c r="M626" s="2" t="s">
        <v>514</v>
      </c>
      <c r="N626" t="s">
        <v>20</v>
      </c>
      <c r="O626" t="s">
        <v>21</v>
      </c>
      <c r="P626" t="s">
        <v>22</v>
      </c>
    </row>
    <row r="627" spans="1:16" x14ac:dyDescent="0.25">
      <c r="A627" t="s">
        <v>16</v>
      </c>
      <c r="B627" t="s">
        <v>17</v>
      </c>
      <c r="C627" t="s">
        <v>18</v>
      </c>
      <c r="D627" s="1">
        <v>44614</v>
      </c>
      <c r="E627" s="2" t="s">
        <v>514</v>
      </c>
      <c r="F627" s="3" t="str">
        <f>HYPERLINK("https://maps.google.com/maps?q=5.14879,-74.64506&amp;ll=5.14879,-74.64506&amp;z=14.75z","Aut Bogotá - Medellín, Km 18.83 Puerto Bogotá - Guaduas, , Acuapal, Guaduas, Cundinamarca")</f>
        <v>Aut Bogotá - Medellín, Km 18.83 Puerto Bogotá - Guaduas, , Acuapal, Guaduas, Cundinamarca</v>
      </c>
      <c r="G627">
        <v>24</v>
      </c>
      <c r="H627">
        <v>138269</v>
      </c>
      <c r="I627">
        <v>-74.645060000000001</v>
      </c>
      <c r="J627">
        <v>5.14879</v>
      </c>
      <c r="K627" t="s">
        <v>41</v>
      </c>
      <c r="L627" s="1">
        <v>44614</v>
      </c>
      <c r="M627" s="2" t="s">
        <v>514</v>
      </c>
      <c r="N627" t="s">
        <v>20</v>
      </c>
      <c r="O627" t="s">
        <v>21</v>
      </c>
      <c r="P627" t="s">
        <v>22</v>
      </c>
    </row>
    <row r="628" spans="1:16" x14ac:dyDescent="0.25">
      <c r="A628" t="s">
        <v>16</v>
      </c>
      <c r="B628" t="s">
        <v>17</v>
      </c>
      <c r="C628" t="s">
        <v>18</v>
      </c>
      <c r="D628" s="1">
        <v>44614</v>
      </c>
      <c r="E628" s="2" t="s">
        <v>515</v>
      </c>
      <c r="F628" s="3" t="str">
        <f>HYPERLINK("https://maps.google.com/maps?q=5.14582,-74.64431&amp;ll=5.14582,-74.64431&amp;z=14.75z","Aut Bogotá - Medellín, Km 19.19 Puerto Bogotá - Guaduas, , Acuapal, Guaduas, Cundinamarca")</f>
        <v>Aut Bogotá - Medellín, Km 19.19 Puerto Bogotá - Guaduas, , Acuapal, Guaduas, Cundinamarca</v>
      </c>
      <c r="G628">
        <v>21</v>
      </c>
      <c r="H628">
        <v>138269</v>
      </c>
      <c r="I628">
        <v>-74.644310000000004</v>
      </c>
      <c r="J628">
        <v>5.1458199999999996</v>
      </c>
      <c r="K628" t="s">
        <v>31</v>
      </c>
      <c r="L628" s="1">
        <v>44614</v>
      </c>
      <c r="M628" s="2" t="s">
        <v>515</v>
      </c>
      <c r="N628" t="s">
        <v>20</v>
      </c>
      <c r="O628" t="s">
        <v>21</v>
      </c>
      <c r="P628" t="s">
        <v>22</v>
      </c>
    </row>
    <row r="629" spans="1:16" x14ac:dyDescent="0.25">
      <c r="A629" t="s">
        <v>16</v>
      </c>
      <c r="B629" t="s">
        <v>17</v>
      </c>
      <c r="C629" t="s">
        <v>18</v>
      </c>
      <c r="D629" s="1">
        <v>44614</v>
      </c>
      <c r="E629" s="2" t="s">
        <v>516</v>
      </c>
      <c r="F629" s="3" t="str">
        <f>HYPERLINK("https://maps.google.com/maps?q=5.14341,-74.6426&amp;ll=5.14341,-74.6426&amp;z=14.75z","Aut Bogotá - Medellín, Km 19.57 Puerto Bogotá - Guaduas, , Acuapal, Guaduas, Cundinamarca")</f>
        <v>Aut Bogotá - Medellín, Km 19.57 Puerto Bogotá - Guaduas, , Acuapal, Guaduas, Cundinamarca</v>
      </c>
      <c r="G629">
        <v>21</v>
      </c>
      <c r="H629">
        <v>138270</v>
      </c>
      <c r="I629">
        <v>-74.642600000000002</v>
      </c>
      <c r="J629">
        <v>5.1434100000000003</v>
      </c>
      <c r="K629" t="s">
        <v>33</v>
      </c>
      <c r="L629" s="1">
        <v>44614</v>
      </c>
      <c r="M629" s="2" t="s">
        <v>516</v>
      </c>
      <c r="N629" t="s">
        <v>20</v>
      </c>
      <c r="O629" t="s">
        <v>21</v>
      </c>
      <c r="P629" t="s">
        <v>22</v>
      </c>
    </row>
    <row r="630" spans="1:16" x14ac:dyDescent="0.25">
      <c r="A630" t="s">
        <v>16</v>
      </c>
      <c r="B630" t="s">
        <v>17</v>
      </c>
      <c r="C630" t="s">
        <v>18</v>
      </c>
      <c r="D630" s="1">
        <v>44614</v>
      </c>
      <c r="E630" s="2" t="s">
        <v>517</v>
      </c>
      <c r="F630" s="3" t="str">
        <f>HYPERLINK("https://maps.google.com/maps?q=5.14085,-74.64069&amp;ll=5.14085,-74.64069&amp;z=14.75z","Aut Bogotá - Medellín, Km 19.97 Puerto Bogotá - Guaduas, , Acuapal, Guaduas, Cundinamarca")</f>
        <v>Aut Bogotá - Medellín, Km 19.97 Puerto Bogotá - Guaduas, , Acuapal, Guaduas, Cundinamarca</v>
      </c>
      <c r="G630">
        <v>8</v>
      </c>
      <c r="H630">
        <v>138270</v>
      </c>
      <c r="I630">
        <v>-74.640690000000006</v>
      </c>
      <c r="J630">
        <v>5.1408500000000004</v>
      </c>
      <c r="K630" t="s">
        <v>33</v>
      </c>
      <c r="L630" s="1">
        <v>44614</v>
      </c>
      <c r="M630" s="2" t="s">
        <v>517</v>
      </c>
      <c r="N630" t="s">
        <v>20</v>
      </c>
      <c r="O630" t="s">
        <v>21</v>
      </c>
      <c r="P630" t="s">
        <v>22</v>
      </c>
    </row>
    <row r="631" spans="1:16" x14ac:dyDescent="0.25">
      <c r="A631" t="s">
        <v>16</v>
      </c>
      <c r="B631" t="s">
        <v>17</v>
      </c>
      <c r="C631" t="s">
        <v>18</v>
      </c>
      <c r="D631" s="1">
        <v>44614</v>
      </c>
      <c r="E631" s="2" t="s">
        <v>518</v>
      </c>
      <c r="F631" s="3" t="str">
        <f>HYPERLINK("https://maps.google.com/maps?q=5.1391,-74.63965&amp;ll=5.1391,-74.63965&amp;z=14.75z","Aut Bogotá - Medellín, Km 20.14 Puerto Bogotá - Guaduas, , Acuapal, Guaduas, Cundinamarca")</f>
        <v>Aut Bogotá - Medellín, Km 20.14 Puerto Bogotá - Guaduas, , Acuapal, Guaduas, Cundinamarca</v>
      </c>
      <c r="G631">
        <v>10</v>
      </c>
      <c r="H631">
        <v>138270</v>
      </c>
      <c r="I631">
        <v>-74.639650000000003</v>
      </c>
      <c r="J631">
        <v>5.1391</v>
      </c>
      <c r="K631" t="s">
        <v>33</v>
      </c>
      <c r="L631" s="1">
        <v>44614</v>
      </c>
      <c r="M631" s="2" t="s">
        <v>518</v>
      </c>
      <c r="N631" t="s">
        <v>20</v>
      </c>
      <c r="O631" t="s">
        <v>21</v>
      </c>
      <c r="P631" t="s">
        <v>22</v>
      </c>
    </row>
    <row r="632" spans="1:16" x14ac:dyDescent="0.25">
      <c r="A632" t="s">
        <v>16</v>
      </c>
      <c r="B632" t="s">
        <v>17</v>
      </c>
      <c r="C632" t="s">
        <v>18</v>
      </c>
      <c r="D632" s="1">
        <v>44614</v>
      </c>
      <c r="E632" s="2" t="s">
        <v>519</v>
      </c>
      <c r="F632" s="3" t="str">
        <f>HYPERLINK("https://maps.google.com/maps?q=5.13435,-74.63972&amp;ll=5.13435,-74.63972&amp;z=14.75z","Aut Bogotá - Medellín, Km 20.69 Puerto Bogotá - Guaduas, , Sargento, Guaduas, Cundinamarca")</f>
        <v>Aut Bogotá - Medellín, Km 20.69 Puerto Bogotá - Guaduas, , Sargento, Guaduas, Cundinamarca</v>
      </c>
      <c r="G632">
        <v>36</v>
      </c>
      <c r="H632">
        <v>138271</v>
      </c>
      <c r="I632">
        <v>-74.639719999999997</v>
      </c>
      <c r="J632">
        <v>5.1343500000000004</v>
      </c>
      <c r="K632" t="s">
        <v>31</v>
      </c>
      <c r="L632" s="1">
        <v>44614</v>
      </c>
      <c r="M632" s="2" t="s">
        <v>519</v>
      </c>
      <c r="N632" t="s">
        <v>20</v>
      </c>
      <c r="O632" t="s">
        <v>21</v>
      </c>
      <c r="P632" t="s">
        <v>22</v>
      </c>
    </row>
    <row r="633" spans="1:16" x14ac:dyDescent="0.25">
      <c r="A633" t="s">
        <v>16</v>
      </c>
      <c r="B633" t="s">
        <v>17</v>
      </c>
      <c r="C633" t="s">
        <v>18</v>
      </c>
      <c r="D633" s="1">
        <v>44614</v>
      </c>
      <c r="E633" s="2" t="s">
        <v>294</v>
      </c>
      <c r="F633" s="3" t="str">
        <f>HYPERLINK("https://maps.google.com/maps?q=5.13011,-74.63833&amp;ll=5.13011,-74.63833&amp;z=14.75z","Aut Bogotá - Medellín, Km 21.27 Puerto Bogotá - Guaduas, , Sargento, Guaduas, Cundinamarca")</f>
        <v>Aut Bogotá - Medellín, Km 21.27 Puerto Bogotá - Guaduas, , Sargento, Guaduas, Cundinamarca</v>
      </c>
      <c r="G633">
        <v>29</v>
      </c>
      <c r="H633">
        <v>138271</v>
      </c>
      <c r="I633">
        <v>-74.638329999999996</v>
      </c>
      <c r="J633">
        <v>5.1301100000000002</v>
      </c>
      <c r="K633" t="s">
        <v>31</v>
      </c>
      <c r="L633" s="1">
        <v>44614</v>
      </c>
      <c r="M633" s="2" t="s">
        <v>294</v>
      </c>
      <c r="N633" t="s">
        <v>20</v>
      </c>
      <c r="O633" t="s">
        <v>21</v>
      </c>
      <c r="P633" t="s">
        <v>22</v>
      </c>
    </row>
    <row r="634" spans="1:16" x14ac:dyDescent="0.25">
      <c r="A634" t="s">
        <v>16</v>
      </c>
      <c r="B634" t="s">
        <v>17</v>
      </c>
      <c r="C634" t="s">
        <v>18</v>
      </c>
      <c r="D634" s="1">
        <v>44614</v>
      </c>
      <c r="E634" s="2" t="s">
        <v>294</v>
      </c>
      <c r="F634" s="3" t="str">
        <f>HYPERLINK("https://maps.google.com/maps?q=5.12578,-74.63753&amp;ll=5.12578,-74.63753&amp;z=14.75z","Aut Bogotá - Medellín, Km 21.7 Puerto Bogotá - Guaduas, , Sargento, Guaduas, Cundinamarca")</f>
        <v>Aut Bogotá - Medellín, Km 21.7 Puerto Bogotá - Guaduas, , Sargento, Guaduas, Cundinamarca</v>
      </c>
      <c r="G634">
        <v>30</v>
      </c>
      <c r="H634">
        <v>138272</v>
      </c>
      <c r="I634">
        <v>-74.637529999999998</v>
      </c>
      <c r="J634">
        <v>5.1257799999999998</v>
      </c>
      <c r="K634" t="s">
        <v>31</v>
      </c>
      <c r="L634" s="1">
        <v>44614</v>
      </c>
      <c r="M634" s="2" t="s">
        <v>520</v>
      </c>
      <c r="N634" t="s">
        <v>20</v>
      </c>
      <c r="O634" t="s">
        <v>21</v>
      </c>
      <c r="P634" t="s">
        <v>22</v>
      </c>
    </row>
    <row r="635" spans="1:16" x14ac:dyDescent="0.25">
      <c r="A635" t="s">
        <v>16</v>
      </c>
      <c r="B635" t="s">
        <v>17</v>
      </c>
      <c r="C635" t="s">
        <v>18</v>
      </c>
      <c r="D635" s="1">
        <v>44614</v>
      </c>
      <c r="E635" s="2" t="s">
        <v>520</v>
      </c>
      <c r="F635" s="3" t="str">
        <f>HYPERLINK("https://maps.google.com/maps?q=5.12189,-74.63669&amp;ll=5.12189,-74.63669&amp;z=14.75z","Aut Bogotá - Medellín, Km 22.18 Puerto Bogotá - Guaduas, , Sargento, Guaduas, Cundinamarca")</f>
        <v>Aut Bogotá - Medellín, Km 22.18 Puerto Bogotá - Guaduas, , Sargento, Guaduas, Cundinamarca</v>
      </c>
      <c r="G635">
        <v>26</v>
      </c>
      <c r="H635">
        <v>138272</v>
      </c>
      <c r="I635">
        <v>-74.636690000000002</v>
      </c>
      <c r="J635">
        <v>5.1218899999999996</v>
      </c>
      <c r="K635" t="s">
        <v>33</v>
      </c>
      <c r="L635" s="1">
        <v>44614</v>
      </c>
      <c r="M635" s="2" t="s">
        <v>525</v>
      </c>
      <c r="N635" t="s">
        <v>20</v>
      </c>
      <c r="O635" t="s">
        <v>21</v>
      </c>
      <c r="P635" t="s">
        <v>22</v>
      </c>
    </row>
    <row r="636" spans="1:16" x14ac:dyDescent="0.25">
      <c r="A636" t="s">
        <v>16</v>
      </c>
      <c r="B636" t="s">
        <v>17</v>
      </c>
      <c r="C636" t="s">
        <v>18</v>
      </c>
      <c r="D636" s="1">
        <v>44614</v>
      </c>
      <c r="E636" s="2" t="s">
        <v>521</v>
      </c>
      <c r="F636" s="3" t="str">
        <f>HYPERLINK("https://maps.google.com/maps?q=5.11881,-74.63559&amp;ll=5.11881,-74.63559&amp;z=14.75z","Aut Bogotá - Medellín, Km 22.61 Puerto Bogotá - Guaduas, , Sargento, Guaduas, Cundinamarca")</f>
        <v>Aut Bogotá - Medellín, Km 22.61 Puerto Bogotá - Guaduas, , Sargento, Guaduas, Cundinamarca</v>
      </c>
      <c r="G636">
        <v>12</v>
      </c>
      <c r="H636">
        <v>138273</v>
      </c>
      <c r="I636">
        <v>-74.635589999999993</v>
      </c>
      <c r="J636">
        <v>5.1188099999999999</v>
      </c>
      <c r="K636" t="s">
        <v>33</v>
      </c>
      <c r="L636" s="1">
        <v>44614</v>
      </c>
      <c r="M636" s="2" t="s">
        <v>525</v>
      </c>
      <c r="N636" t="s">
        <v>20</v>
      </c>
      <c r="O636" t="s">
        <v>21</v>
      </c>
      <c r="P636" t="s">
        <v>22</v>
      </c>
    </row>
    <row r="637" spans="1:16" x14ac:dyDescent="0.25">
      <c r="A637" t="s">
        <v>16</v>
      </c>
      <c r="B637" t="s">
        <v>17</v>
      </c>
      <c r="C637" t="s">
        <v>18</v>
      </c>
      <c r="D637" s="1">
        <v>44614</v>
      </c>
      <c r="E637" s="2" t="s">
        <v>522</v>
      </c>
      <c r="F637" s="3" t="str">
        <f>HYPERLINK("https://maps.google.com/maps?q=5.11556,-74.63652&amp;ll=5.11556,-74.63652&amp;z=14.75z","Aut Bogotá - Medellín, Km 23 Puerto Bogotá - Guaduas, , Santa Rosa, Guaduas, Cundinamarca")</f>
        <v>Aut Bogotá - Medellín, Km 23 Puerto Bogotá - Guaduas, , Santa Rosa, Guaduas, Cundinamarca</v>
      </c>
      <c r="G637">
        <v>30</v>
      </c>
      <c r="H637">
        <v>138273</v>
      </c>
      <c r="I637">
        <v>-74.636520000000004</v>
      </c>
      <c r="J637">
        <v>5.1155600000000003</v>
      </c>
      <c r="K637" t="s">
        <v>30</v>
      </c>
      <c r="L637" s="1">
        <v>44614</v>
      </c>
      <c r="M637" s="2" t="s">
        <v>525</v>
      </c>
      <c r="N637" t="s">
        <v>20</v>
      </c>
      <c r="O637" t="s">
        <v>21</v>
      </c>
      <c r="P637" t="s">
        <v>22</v>
      </c>
    </row>
    <row r="638" spans="1:16" x14ac:dyDescent="0.25">
      <c r="A638" t="s">
        <v>16</v>
      </c>
      <c r="B638" t="s">
        <v>17</v>
      </c>
      <c r="C638" t="s">
        <v>18</v>
      </c>
      <c r="D638" s="1">
        <v>44614</v>
      </c>
      <c r="E638" s="2" t="s">
        <v>295</v>
      </c>
      <c r="F638" s="3" t="str">
        <f>HYPERLINK("https://maps.google.com/maps?q=5.11311,-74.63471&amp;ll=5.11311,-74.63471&amp;z=14.75z","Aut Bogotá - Medellín, Km 23.56 Puerto Bogotá - Guaduas, , Cucharal, Guaduas, Cundinamarca")</f>
        <v>Aut Bogotá - Medellín, Km 23.56 Puerto Bogotá - Guaduas, , Cucharal, Guaduas, Cundinamarca</v>
      </c>
      <c r="G638">
        <v>31</v>
      </c>
      <c r="H638">
        <v>138273</v>
      </c>
      <c r="I638">
        <v>-74.634709999999998</v>
      </c>
      <c r="J638">
        <v>5.1131099999999998</v>
      </c>
      <c r="K638" t="s">
        <v>41</v>
      </c>
      <c r="L638" s="1">
        <v>44614</v>
      </c>
      <c r="M638" s="2" t="s">
        <v>525</v>
      </c>
      <c r="N638" t="s">
        <v>20</v>
      </c>
      <c r="O638" t="s">
        <v>21</v>
      </c>
      <c r="P638" t="s">
        <v>22</v>
      </c>
    </row>
    <row r="639" spans="1:16" x14ac:dyDescent="0.25">
      <c r="A639" t="s">
        <v>16</v>
      </c>
      <c r="B639" t="s">
        <v>17</v>
      </c>
      <c r="C639" t="s">
        <v>18</v>
      </c>
      <c r="D639" s="1">
        <v>44614</v>
      </c>
      <c r="E639" s="2" t="s">
        <v>296</v>
      </c>
      <c r="F639" s="3" t="str">
        <f>HYPERLINK("https://maps.google.com/maps?q=5.11191,-74.63167&amp;ll=5.11191,-74.63167&amp;z=14.75z","Aut Bogotá - Medellín, Km 24.09 Puerto Bogotá - Guaduas, , Cucharal, Guaduas, Cundinamarca")</f>
        <v>Aut Bogotá - Medellín, Km 24.09 Puerto Bogotá - Guaduas, , Cucharal, Guaduas, Cundinamarca</v>
      </c>
      <c r="G639">
        <v>36</v>
      </c>
      <c r="H639">
        <v>138274</v>
      </c>
      <c r="I639">
        <v>-74.63167</v>
      </c>
      <c r="J639">
        <v>5.11191</v>
      </c>
      <c r="K639" t="s">
        <v>30</v>
      </c>
      <c r="L639" s="1">
        <v>44614</v>
      </c>
      <c r="M639" s="2" t="s">
        <v>525</v>
      </c>
      <c r="N639" t="s">
        <v>20</v>
      </c>
      <c r="O639" t="s">
        <v>21</v>
      </c>
      <c r="P639" t="s">
        <v>22</v>
      </c>
    </row>
    <row r="640" spans="1:16" x14ac:dyDescent="0.25">
      <c r="A640" t="s">
        <v>16</v>
      </c>
      <c r="B640" t="s">
        <v>17</v>
      </c>
      <c r="C640" t="s">
        <v>18</v>
      </c>
      <c r="D640" s="1">
        <v>44614</v>
      </c>
      <c r="E640" s="2" t="s">
        <v>523</v>
      </c>
      <c r="F640" s="3" t="str">
        <f>HYPERLINK("https://maps.google.com/maps?q=5.10864,-74.63129&amp;ll=5.10864,-74.63129&amp;z=14.75z","Aut Bogotá - Medellín, Km 24.57 Puerto Bogotá - Guaduas, , Cucharal, Guaduas, Cundinamarca")</f>
        <v>Aut Bogotá - Medellín, Km 24.57 Puerto Bogotá - Guaduas, , Cucharal, Guaduas, Cundinamarca</v>
      </c>
      <c r="G640">
        <v>30</v>
      </c>
      <c r="H640">
        <v>138274</v>
      </c>
      <c r="I640">
        <v>-74.631290000000007</v>
      </c>
      <c r="J640">
        <v>5.1086400000000003</v>
      </c>
      <c r="K640" t="s">
        <v>31</v>
      </c>
      <c r="L640" s="1">
        <v>44614</v>
      </c>
      <c r="M640" s="2" t="s">
        <v>525</v>
      </c>
      <c r="N640" t="s">
        <v>20</v>
      </c>
      <c r="O640" t="s">
        <v>21</v>
      </c>
      <c r="P640" t="s">
        <v>22</v>
      </c>
    </row>
    <row r="641" spans="1:16" x14ac:dyDescent="0.25">
      <c r="A641" t="s">
        <v>16</v>
      </c>
      <c r="B641" t="s">
        <v>17</v>
      </c>
      <c r="C641" t="s">
        <v>18</v>
      </c>
      <c r="D641" s="1">
        <v>44614</v>
      </c>
      <c r="E641" s="2" t="s">
        <v>322</v>
      </c>
      <c r="F641" s="3" t="str">
        <f>HYPERLINK("https://maps.google.com/maps?q=5.10395,-74.63026&amp;ll=5.10395,-74.63026&amp;z=14.75z","Aut Bogotá - Medellín, Km 25.17 Puerto Bogotá - Guaduas, , Cucharal, Guaduas, Cundinamarca")</f>
        <v>Aut Bogotá - Medellín, Km 25.17 Puerto Bogotá - Guaduas, , Cucharal, Guaduas, Cundinamarca</v>
      </c>
      <c r="G641">
        <v>34</v>
      </c>
      <c r="H641">
        <v>138275</v>
      </c>
      <c r="I641">
        <v>-74.630260000000007</v>
      </c>
      <c r="J641">
        <v>5.1039500000000002</v>
      </c>
      <c r="K641" t="s">
        <v>30</v>
      </c>
      <c r="L641" s="1">
        <v>44614</v>
      </c>
      <c r="M641" s="2" t="s">
        <v>525</v>
      </c>
      <c r="N641" t="s">
        <v>20</v>
      </c>
      <c r="O641" t="s">
        <v>21</v>
      </c>
      <c r="P641" t="s">
        <v>22</v>
      </c>
    </row>
    <row r="642" spans="1:16" x14ac:dyDescent="0.25">
      <c r="A642" t="s">
        <v>16</v>
      </c>
      <c r="B642" t="s">
        <v>17</v>
      </c>
      <c r="C642" t="s">
        <v>18</v>
      </c>
      <c r="D642" s="1">
        <v>44614</v>
      </c>
      <c r="E642" s="2" t="s">
        <v>323</v>
      </c>
      <c r="F642" s="3" t="str">
        <f>HYPERLINK("https://maps.google.com/maps?q=5.10161,-74.62777&amp;ll=5.10161,-74.62777&amp;z=14.75z","Aut Bogotá - Medellín, Km 25.65 Puerto Bogotá - Guaduas, , Cucharal, Guaduas, Cundinamarca")</f>
        <v>Aut Bogotá - Medellín, Km 25.65 Puerto Bogotá - Guaduas, , Cucharal, Guaduas, Cundinamarca</v>
      </c>
      <c r="G642">
        <v>32</v>
      </c>
      <c r="H642">
        <v>138275</v>
      </c>
      <c r="I642">
        <v>-74.627769999999998</v>
      </c>
      <c r="J642">
        <v>5.10161</v>
      </c>
      <c r="K642" t="s">
        <v>41</v>
      </c>
      <c r="L642" s="1">
        <v>44614</v>
      </c>
      <c r="M642" s="2" t="s">
        <v>525</v>
      </c>
      <c r="N642" t="s">
        <v>20</v>
      </c>
      <c r="O642" t="s">
        <v>21</v>
      </c>
      <c r="P642" t="s">
        <v>22</v>
      </c>
    </row>
    <row r="643" spans="1:16" x14ac:dyDescent="0.25">
      <c r="A643" t="s">
        <v>16</v>
      </c>
      <c r="B643" t="s">
        <v>17</v>
      </c>
      <c r="C643" t="s">
        <v>27</v>
      </c>
      <c r="D643" s="1">
        <v>44614</v>
      </c>
      <c r="E643" s="2" t="s">
        <v>524</v>
      </c>
      <c r="F643" s="3" t="str">
        <f>HYPERLINK("https://maps.google.com/maps?q=5.09979,-74.62548&amp;ll=5.09979,-74.62548&amp;z=14.75z","Aut Bogotá - Medellín, Km 26.09 Puerto Bogotá - Guaduas, , Cucharal, Guaduas, Cundinamarca")</f>
        <v>Aut Bogotá - Medellín, Km 26.09 Puerto Bogotá - Guaduas, , Cucharal, Guaduas, Cundinamarca</v>
      </c>
      <c r="G643">
        <v>31</v>
      </c>
      <c r="H643">
        <v>138276</v>
      </c>
      <c r="I643">
        <v>-74.625479999999996</v>
      </c>
      <c r="J643">
        <v>5.0997899999999996</v>
      </c>
      <c r="K643" t="s">
        <v>31</v>
      </c>
      <c r="L643" s="1">
        <v>44614</v>
      </c>
      <c r="M643" s="2" t="s">
        <v>524</v>
      </c>
      <c r="N643" t="s">
        <v>20</v>
      </c>
      <c r="O643" t="s">
        <v>21</v>
      </c>
      <c r="P643" t="s">
        <v>22</v>
      </c>
    </row>
    <row r="644" spans="1:16" x14ac:dyDescent="0.25">
      <c r="A644" t="s">
        <v>16</v>
      </c>
      <c r="B644" t="s">
        <v>17</v>
      </c>
      <c r="C644" t="s">
        <v>18</v>
      </c>
      <c r="D644" s="1">
        <v>44614</v>
      </c>
      <c r="E644" s="2" t="s">
        <v>524</v>
      </c>
      <c r="F644" s="3" t="str">
        <f>HYPERLINK("https://maps.google.com/maps?q=5.09924,-74.62544&amp;ll=5.09924,-74.62544&amp;z=14.75z","Aut Bogotá - Medellín, Km 26.15 Puerto Bogotá - Guaduas, , Cucharal, Guaduas, Cundinamarca")</f>
        <v>Aut Bogotá - Medellín, Km 26.15 Puerto Bogotá - Guaduas, , Cucharal, Guaduas, Cundinamarca</v>
      </c>
      <c r="G644">
        <v>29</v>
      </c>
      <c r="H644">
        <v>138276</v>
      </c>
      <c r="I644">
        <v>-74.625439999999998</v>
      </c>
      <c r="J644">
        <v>5.09924</v>
      </c>
      <c r="K644" t="s">
        <v>31</v>
      </c>
      <c r="L644" s="1">
        <v>44614</v>
      </c>
      <c r="M644" s="2" t="s">
        <v>525</v>
      </c>
      <c r="N644" t="s">
        <v>20</v>
      </c>
      <c r="O644" t="s">
        <v>21</v>
      </c>
      <c r="P644" t="s">
        <v>22</v>
      </c>
    </row>
    <row r="645" spans="1:16" x14ac:dyDescent="0.25">
      <c r="A645" t="s">
        <v>16</v>
      </c>
      <c r="B645" t="s">
        <v>17</v>
      </c>
      <c r="C645" t="s">
        <v>27</v>
      </c>
      <c r="D645" s="1">
        <v>44614</v>
      </c>
      <c r="E645" s="2" t="s">
        <v>525</v>
      </c>
      <c r="F645" s="3" t="str">
        <f>HYPERLINK("https://maps.google.com/maps?q=5.09648,-74.62511&amp;ll=5.09648,-74.62511&amp;z=14.75z","Aut Bogotá - Medellín, Km 26.47 Puerto Bogotá - Guaduas, , Cucharal, Guaduas, Cundinamarca")</f>
        <v>Aut Bogotá - Medellín, Km 26.47 Puerto Bogotá - Guaduas, , Cucharal, Guaduas, Cundinamarca</v>
      </c>
      <c r="G645">
        <v>25</v>
      </c>
      <c r="H645">
        <v>138276</v>
      </c>
      <c r="I645">
        <v>-74.625110000000006</v>
      </c>
      <c r="J645">
        <v>5.0964799999999997</v>
      </c>
      <c r="K645" t="s">
        <v>31</v>
      </c>
      <c r="L645" s="1">
        <v>44614</v>
      </c>
      <c r="M645" s="2" t="s">
        <v>525</v>
      </c>
      <c r="N645" t="s">
        <v>20</v>
      </c>
      <c r="O645" t="s">
        <v>21</v>
      </c>
      <c r="P645" t="s">
        <v>22</v>
      </c>
    </row>
    <row r="646" spans="1:16" x14ac:dyDescent="0.25">
      <c r="A646" t="s">
        <v>16</v>
      </c>
      <c r="B646" t="s">
        <v>17</v>
      </c>
      <c r="C646" t="s">
        <v>18</v>
      </c>
      <c r="D646" s="1">
        <v>44614</v>
      </c>
      <c r="E646" s="2" t="s">
        <v>525</v>
      </c>
      <c r="F646" s="3" t="str">
        <f>HYPERLINK("https://maps.google.com/maps?q=5.09561,-74.62484&amp;ll=5.09561,-74.62484&amp;z=14.75z","Aut Bogotá - Medellín, Km 26.59 Puerto Bogotá - Guaduas, , Cucharal, Guaduas, Cundinamarca")</f>
        <v>Aut Bogotá - Medellín, Km 26.59 Puerto Bogotá - Guaduas, , Cucharal, Guaduas, Cundinamarca</v>
      </c>
      <c r="G646">
        <v>28</v>
      </c>
      <c r="H646">
        <v>138276</v>
      </c>
      <c r="I646">
        <v>-74.624840000000006</v>
      </c>
      <c r="J646">
        <v>5.0956099999999998</v>
      </c>
      <c r="K646" t="s">
        <v>30</v>
      </c>
      <c r="L646" s="1">
        <v>44614</v>
      </c>
      <c r="M646" s="2" t="s">
        <v>525</v>
      </c>
      <c r="N646" t="s">
        <v>20</v>
      </c>
      <c r="O646" t="s">
        <v>21</v>
      </c>
      <c r="P646" t="s">
        <v>22</v>
      </c>
    </row>
    <row r="647" spans="1:16" x14ac:dyDescent="0.25">
      <c r="A647" t="s">
        <v>16</v>
      </c>
      <c r="B647" t="s">
        <v>17</v>
      </c>
      <c r="C647" t="s">
        <v>18</v>
      </c>
      <c r="D647" s="1">
        <v>44614</v>
      </c>
      <c r="E647" s="2" t="s">
        <v>526</v>
      </c>
      <c r="F647" s="3" t="str">
        <f>HYPERLINK("https://maps.google.com/maps?q=5.09356,-74.62335&amp;ll=5.09356,-74.62335&amp;z=14.75z","Aut Bogotá - Medellín, Km 27.05 Puerto Bogotá - Guaduas, , Cucharal, Guaduas, Cundinamarca")</f>
        <v>Aut Bogotá - Medellín, Km 27.05 Puerto Bogotá - Guaduas, , Cucharal, Guaduas, Cundinamarca</v>
      </c>
      <c r="G647">
        <v>30</v>
      </c>
      <c r="H647">
        <v>138277</v>
      </c>
      <c r="I647">
        <v>-74.623350000000002</v>
      </c>
      <c r="J647">
        <v>5.0935600000000001</v>
      </c>
      <c r="K647" t="s">
        <v>31</v>
      </c>
      <c r="L647" s="1">
        <v>44614</v>
      </c>
      <c r="M647" s="2" t="s">
        <v>527</v>
      </c>
      <c r="N647" t="s">
        <v>20</v>
      </c>
      <c r="O647" t="s">
        <v>21</v>
      </c>
      <c r="P647" t="s">
        <v>22</v>
      </c>
    </row>
    <row r="648" spans="1:16" x14ac:dyDescent="0.25">
      <c r="A648" t="s">
        <v>16</v>
      </c>
      <c r="B648" t="s">
        <v>17</v>
      </c>
      <c r="C648" t="s">
        <v>18</v>
      </c>
      <c r="D648" s="1">
        <v>44614</v>
      </c>
      <c r="E648" s="2" t="s">
        <v>526</v>
      </c>
      <c r="F648" s="3" t="str">
        <f>HYPERLINK("https://maps.google.com/maps?q=5.09356,-74.62335&amp;ll=5.09356,-74.62335&amp;z=14.75z","Aut Bogotá - Medellín, Km 27.05 Puerto Bogotá - Guaduas, , Cucharal, Guaduas, Cundinamarca")</f>
        <v>Aut Bogotá - Medellín, Km 27.05 Puerto Bogotá - Guaduas, , Cucharal, Guaduas, Cundinamarca</v>
      </c>
      <c r="G648">
        <v>30</v>
      </c>
      <c r="H648">
        <v>138277</v>
      </c>
      <c r="I648">
        <v>-74.623350000000002</v>
      </c>
      <c r="J648">
        <v>5.0935600000000001</v>
      </c>
      <c r="K648" t="s">
        <v>31</v>
      </c>
      <c r="L648" s="1">
        <v>44614</v>
      </c>
      <c r="M648" s="2" t="s">
        <v>527</v>
      </c>
      <c r="N648" t="s">
        <v>20</v>
      </c>
      <c r="O648" t="s">
        <v>21</v>
      </c>
      <c r="P648" t="s">
        <v>22</v>
      </c>
    </row>
    <row r="649" spans="1:16" x14ac:dyDescent="0.25">
      <c r="A649" t="s">
        <v>16</v>
      </c>
      <c r="B649" t="s">
        <v>17</v>
      </c>
      <c r="C649" t="s">
        <v>18</v>
      </c>
      <c r="D649" s="1">
        <v>44614</v>
      </c>
      <c r="E649" s="2" t="s">
        <v>526</v>
      </c>
      <c r="F649" s="3" t="str">
        <f>HYPERLINK("https://maps.google.com/maps?q=5.09356,-74.62335&amp;ll=5.09356,-74.62335&amp;z=14.75z","Aut Bogotá - Medellín, Km 27.05 Puerto Bogotá - Guaduas, , Cucharal, Guaduas, Cundinamarca")</f>
        <v>Aut Bogotá - Medellín, Km 27.05 Puerto Bogotá - Guaduas, , Cucharal, Guaduas, Cundinamarca</v>
      </c>
      <c r="G649">
        <v>30</v>
      </c>
      <c r="H649">
        <v>138277</v>
      </c>
      <c r="I649">
        <v>-74.623350000000002</v>
      </c>
      <c r="J649">
        <v>5.0935600000000001</v>
      </c>
      <c r="K649" t="s">
        <v>31</v>
      </c>
      <c r="L649" s="1">
        <v>44614</v>
      </c>
      <c r="M649" s="2" t="s">
        <v>527</v>
      </c>
      <c r="N649" t="s">
        <v>20</v>
      </c>
      <c r="O649" t="s">
        <v>21</v>
      </c>
      <c r="P649" t="s">
        <v>22</v>
      </c>
    </row>
    <row r="650" spans="1:16" x14ac:dyDescent="0.25">
      <c r="A650" t="s">
        <v>16</v>
      </c>
      <c r="B650" t="s">
        <v>17</v>
      </c>
      <c r="C650" t="s">
        <v>18</v>
      </c>
      <c r="D650" s="1">
        <v>44614</v>
      </c>
      <c r="E650" s="2" t="s">
        <v>527</v>
      </c>
      <c r="F650" s="3" t="str">
        <f>HYPERLINK("https://maps.google.com/maps?q=5.09253,-74.62108&amp;ll=5.09253,-74.62108&amp;z=14.75z","Aut Bogotá - Medellín, Km 27.51 Puerto Bogotá - Guaduas, , Paramillo Ó Agua Clara, Guaduas, Cundinamarca")</f>
        <v>Aut Bogotá - Medellín, Km 27.51 Puerto Bogotá - Guaduas, , Paramillo Ó Agua Clara, Guaduas, Cundinamarca</v>
      </c>
      <c r="G650">
        <v>29</v>
      </c>
      <c r="H650">
        <v>138277</v>
      </c>
      <c r="I650">
        <v>-74.621080000000006</v>
      </c>
      <c r="J650">
        <v>5.09253</v>
      </c>
      <c r="K650" t="s">
        <v>33</v>
      </c>
      <c r="L650" s="1">
        <v>44614</v>
      </c>
      <c r="M650" s="2" t="s">
        <v>527</v>
      </c>
      <c r="N650" t="s">
        <v>20</v>
      </c>
      <c r="O650" t="s">
        <v>21</v>
      </c>
      <c r="P650" t="s">
        <v>22</v>
      </c>
    </row>
    <row r="651" spans="1:16" x14ac:dyDescent="0.25">
      <c r="A651" t="s">
        <v>16</v>
      </c>
      <c r="B651" t="s">
        <v>17</v>
      </c>
      <c r="C651" t="s">
        <v>18</v>
      </c>
      <c r="D651" s="1">
        <v>44614</v>
      </c>
      <c r="E651" s="2" t="s">
        <v>528</v>
      </c>
      <c r="F651" s="3" t="str">
        <f>HYPERLINK("https://maps.google.com/maps?q=5.08932,-74.6182&amp;ll=5.08932,-74.6182&amp;z=14.75z","Aut Bogotá - Medellín, Km 28 Puerto Bogotá - Guaduas, , Paramillo Ó Agua Clara, Guaduas, Cundinamarca")</f>
        <v>Aut Bogotá - Medellín, Km 28 Puerto Bogotá - Guaduas, , Paramillo Ó Agua Clara, Guaduas, Cundinamarca</v>
      </c>
      <c r="G651">
        <v>28</v>
      </c>
      <c r="H651">
        <v>138278</v>
      </c>
      <c r="I651">
        <v>-74.618200000000002</v>
      </c>
      <c r="J651">
        <v>5.0893199999999998</v>
      </c>
      <c r="K651" t="s">
        <v>33</v>
      </c>
      <c r="L651" s="1">
        <v>44614</v>
      </c>
      <c r="M651" s="2" t="s">
        <v>528</v>
      </c>
      <c r="N651" t="s">
        <v>20</v>
      </c>
      <c r="O651" t="s">
        <v>21</v>
      </c>
      <c r="P651" t="s">
        <v>22</v>
      </c>
    </row>
    <row r="652" spans="1:16" x14ac:dyDescent="0.25">
      <c r="A652" t="s">
        <v>16</v>
      </c>
      <c r="B652" t="s">
        <v>17</v>
      </c>
      <c r="C652" t="s">
        <v>18</v>
      </c>
      <c r="D652" s="1">
        <v>44614</v>
      </c>
      <c r="E652" s="2" t="s">
        <v>529</v>
      </c>
      <c r="F652" s="3" t="str">
        <f>HYPERLINK("https://maps.google.com/maps?q=5.08791,-74.61503&amp;ll=5.08791,-74.61503&amp;z=14.75z","Aut Bogotá - Medellín, Km 28.44 Puerto Bogotá - Guaduas, , , Guaduas, Cundinamarca")</f>
        <v>Aut Bogotá - Medellín, Km 28.44 Puerto Bogotá - Guaduas, , , Guaduas, Cundinamarca</v>
      </c>
      <c r="G652">
        <v>29</v>
      </c>
      <c r="H652">
        <v>138278</v>
      </c>
      <c r="I652">
        <v>-74.615030000000004</v>
      </c>
      <c r="J652">
        <v>5.0879099999999999</v>
      </c>
      <c r="K652" t="s">
        <v>41</v>
      </c>
      <c r="L652" s="1">
        <v>44614</v>
      </c>
      <c r="M652" s="2" t="s">
        <v>529</v>
      </c>
      <c r="N652" t="s">
        <v>20</v>
      </c>
      <c r="O652" t="s">
        <v>21</v>
      </c>
      <c r="P652" t="s">
        <v>22</v>
      </c>
    </row>
    <row r="653" spans="1:16" x14ac:dyDescent="0.25">
      <c r="A653" t="s">
        <v>16</v>
      </c>
      <c r="B653" t="s">
        <v>17</v>
      </c>
      <c r="C653" t="s">
        <v>18</v>
      </c>
      <c r="D653" s="1">
        <v>44614</v>
      </c>
      <c r="E653" s="2" t="s">
        <v>529</v>
      </c>
      <c r="F653" s="3" t="str">
        <f>HYPERLINK("https://maps.google.com/maps?q=5.08607,-74.61159&amp;ll=5.08607,-74.61159&amp;z=14.75z","Aut Bogotá - Medellín, Km 28.96 Puerto Bogotá - Guaduas, , , Guaduas, Cundinamarca")</f>
        <v>Aut Bogotá - Medellín, Km 28.96 Puerto Bogotá - Guaduas, , , Guaduas, Cundinamarca</v>
      </c>
      <c r="G653">
        <v>29</v>
      </c>
      <c r="H653">
        <v>138279</v>
      </c>
      <c r="I653">
        <v>-74.611590000000007</v>
      </c>
      <c r="J653">
        <v>5.0860700000000003</v>
      </c>
      <c r="K653" t="s">
        <v>41</v>
      </c>
      <c r="L653" s="1">
        <v>44614</v>
      </c>
      <c r="M653" s="2" t="s">
        <v>530</v>
      </c>
      <c r="N653" t="s">
        <v>20</v>
      </c>
      <c r="O653" t="s">
        <v>21</v>
      </c>
      <c r="P653" t="s">
        <v>22</v>
      </c>
    </row>
    <row r="654" spans="1:16" x14ac:dyDescent="0.25">
      <c r="A654" t="s">
        <v>16</v>
      </c>
      <c r="B654" t="s">
        <v>17</v>
      </c>
      <c r="C654" t="s">
        <v>18</v>
      </c>
      <c r="D654" s="1">
        <v>44614</v>
      </c>
      <c r="E654" s="2" t="s">
        <v>530</v>
      </c>
      <c r="F654" s="3" t="str">
        <f>HYPERLINK("https://maps.google.com/maps?q=5.08238,-74.60982&amp;ll=5.08238,-74.60982&amp;z=14.75z","Cra 3, , , Guaduas, Cundinamarca")</f>
        <v>Cra 3, , , Guaduas, Cundinamarca</v>
      </c>
      <c r="G654">
        <v>30</v>
      </c>
      <c r="H654">
        <v>138279</v>
      </c>
      <c r="I654">
        <v>-74.609819999999999</v>
      </c>
      <c r="J654">
        <v>5.0823799999999997</v>
      </c>
      <c r="K654" t="s">
        <v>33</v>
      </c>
      <c r="L654" s="1">
        <v>44614</v>
      </c>
      <c r="M654" s="2" t="s">
        <v>531</v>
      </c>
      <c r="N654" t="s">
        <v>20</v>
      </c>
      <c r="O654" t="s">
        <v>21</v>
      </c>
      <c r="P654" t="s">
        <v>22</v>
      </c>
    </row>
    <row r="655" spans="1:16" x14ac:dyDescent="0.25">
      <c r="A655" t="s">
        <v>16</v>
      </c>
      <c r="B655" t="s">
        <v>17</v>
      </c>
      <c r="C655" t="s">
        <v>18</v>
      </c>
      <c r="D655" s="1">
        <v>44614</v>
      </c>
      <c r="E655" s="2" t="s">
        <v>531</v>
      </c>
      <c r="F655" s="3" t="str">
        <f>HYPERLINK("https://maps.google.com/maps?q=5.07833,-74.60883&amp;ll=5.07833,-74.60883&amp;z=14.75z","Glorieta Ruta del Sol, , , Guaduas, Cundinamarca")</f>
        <v>Glorieta Ruta del Sol, , , Guaduas, Cundinamarca</v>
      </c>
      <c r="G655">
        <v>36</v>
      </c>
      <c r="H655">
        <v>138279</v>
      </c>
      <c r="I655">
        <v>-74.608829999999998</v>
      </c>
      <c r="J655">
        <v>5.0783300000000002</v>
      </c>
      <c r="K655" t="s">
        <v>33</v>
      </c>
      <c r="L655" s="1">
        <v>44614</v>
      </c>
      <c r="M655" s="2" t="s">
        <v>532</v>
      </c>
      <c r="N655" t="s">
        <v>20</v>
      </c>
      <c r="O655" t="s">
        <v>21</v>
      </c>
      <c r="P655" t="s">
        <v>22</v>
      </c>
    </row>
    <row r="656" spans="1:16" x14ac:dyDescent="0.25">
      <c r="A656" t="s">
        <v>16</v>
      </c>
      <c r="B656" t="s">
        <v>17</v>
      </c>
      <c r="C656" t="s">
        <v>18</v>
      </c>
      <c r="D656" s="1">
        <v>44614</v>
      </c>
      <c r="E656" s="2" t="s">
        <v>532</v>
      </c>
      <c r="F656" s="3" t="str">
        <f>HYPERLINK("https://maps.google.com/maps?q=5.07567,-74.60765&amp;ll=5.07567,-74.60765&amp;z=14.75z","Cll 4, 20, , , Guaduas, Cundinamarca")</f>
        <v>Cll 4, 20, , , Guaduas, Cundinamarca</v>
      </c>
      <c r="G656">
        <v>36</v>
      </c>
      <c r="H656">
        <v>138280</v>
      </c>
      <c r="I656">
        <v>-74.607650000000007</v>
      </c>
      <c r="J656">
        <v>5.0756699999999997</v>
      </c>
      <c r="K656" t="s">
        <v>33</v>
      </c>
      <c r="L656" s="1">
        <v>44614</v>
      </c>
      <c r="M656" s="2" t="s">
        <v>532</v>
      </c>
      <c r="N656" t="s">
        <v>20</v>
      </c>
      <c r="O656" t="s">
        <v>21</v>
      </c>
      <c r="P656" t="s">
        <v>22</v>
      </c>
    </row>
    <row r="657" spans="1:16" x14ac:dyDescent="0.25">
      <c r="A657" t="s">
        <v>16</v>
      </c>
      <c r="B657" t="s">
        <v>17</v>
      </c>
      <c r="C657" t="s">
        <v>18</v>
      </c>
      <c r="D657" s="1">
        <v>44614</v>
      </c>
      <c r="E657" s="2" t="s">
        <v>533</v>
      </c>
      <c r="F657" s="3" t="str">
        <f>HYPERLINK("https://maps.google.com/maps?q=5.07316,-74.60402&amp;ll=5.07316,-74.60402&amp;z=14.75z","Cll 4, 13, , , Guaduas, Cundinamarca")</f>
        <v>Cll 4, 13, , , Guaduas, Cundinamarca</v>
      </c>
      <c r="G657">
        <v>12</v>
      </c>
      <c r="H657">
        <v>138280</v>
      </c>
      <c r="I657">
        <v>-74.604020000000006</v>
      </c>
      <c r="J657">
        <v>5.0731599999999997</v>
      </c>
      <c r="K657" t="s">
        <v>33</v>
      </c>
      <c r="L657" s="1">
        <v>44614</v>
      </c>
      <c r="M657" s="2" t="s">
        <v>533</v>
      </c>
      <c r="N657" t="s">
        <v>20</v>
      </c>
      <c r="O657" t="s">
        <v>21</v>
      </c>
      <c r="P657" t="s">
        <v>22</v>
      </c>
    </row>
    <row r="658" spans="1:16" x14ac:dyDescent="0.25">
      <c r="A658" t="s">
        <v>16</v>
      </c>
      <c r="B658" t="s">
        <v>17</v>
      </c>
      <c r="C658" t="s">
        <v>18</v>
      </c>
      <c r="D658" s="1">
        <v>44614</v>
      </c>
      <c r="E658" s="2" t="s">
        <v>534</v>
      </c>
      <c r="F658" s="3" t="str">
        <f>HYPERLINK("https://maps.google.com/maps?q=5.07217,-74.60291&amp;ll=5.07217,-74.60291&amp;z=14.75z","Cll 4, 13, , , Guaduas, Cundinamarca")</f>
        <v>Cll 4, 13, , , Guaduas, Cundinamarca</v>
      </c>
      <c r="G658">
        <v>8</v>
      </c>
      <c r="H658">
        <v>138280</v>
      </c>
      <c r="I658">
        <v>-74.602909999999994</v>
      </c>
      <c r="J658">
        <v>5.0721699999999998</v>
      </c>
      <c r="K658" t="s">
        <v>33</v>
      </c>
      <c r="L658" s="1">
        <v>44614</v>
      </c>
      <c r="M658" s="2" t="s">
        <v>534</v>
      </c>
      <c r="N658" t="s">
        <v>20</v>
      </c>
      <c r="O658" t="s">
        <v>21</v>
      </c>
      <c r="P658" t="s">
        <v>22</v>
      </c>
    </row>
    <row r="659" spans="1:16" x14ac:dyDescent="0.25">
      <c r="A659" t="s">
        <v>16</v>
      </c>
      <c r="B659" t="s">
        <v>17</v>
      </c>
      <c r="C659" t="s">
        <v>18</v>
      </c>
      <c r="D659" s="1">
        <v>44614</v>
      </c>
      <c r="E659" s="2" t="s">
        <v>535</v>
      </c>
      <c r="F659" s="3" t="str">
        <f>HYPERLINK("https://maps.google.com/maps?q=5.07109,-74.60168&amp;ll=5.07109,-74.60168&amp;z=14.75z","Cll 4, 12, , , Guaduas, Cundinamarca")</f>
        <v>Cll 4, 12, , , Guaduas, Cundinamarca</v>
      </c>
      <c r="G659">
        <v>16</v>
      </c>
      <c r="H659">
        <v>138281</v>
      </c>
      <c r="I659">
        <v>-74.601680000000002</v>
      </c>
      <c r="J659">
        <v>5.0710899999999999</v>
      </c>
      <c r="K659" t="s">
        <v>33</v>
      </c>
      <c r="L659" s="1">
        <v>44614</v>
      </c>
      <c r="M659" s="2" t="s">
        <v>535</v>
      </c>
      <c r="N659" t="s">
        <v>20</v>
      </c>
      <c r="O659" t="s">
        <v>21</v>
      </c>
      <c r="P659" t="s">
        <v>22</v>
      </c>
    </row>
    <row r="660" spans="1:16" x14ac:dyDescent="0.25">
      <c r="A660" t="s">
        <v>16</v>
      </c>
      <c r="B660" t="s">
        <v>17</v>
      </c>
      <c r="C660" t="s">
        <v>18</v>
      </c>
      <c r="D660" s="1">
        <v>44614</v>
      </c>
      <c r="E660" s="2" t="s">
        <v>536</v>
      </c>
      <c r="F660" s="3" t="str">
        <f>HYPERLINK("https://maps.google.com/maps?q=5.06944,-74.59983&amp;ll=5.06944,-74.59983&amp;z=14.75z","Cll 4, 9, , , Guaduas, Cundinamarca")</f>
        <v>Cll 4, 9, , , Guaduas, Cundinamarca</v>
      </c>
      <c r="G660">
        <v>18</v>
      </c>
      <c r="H660">
        <v>138281</v>
      </c>
      <c r="I660">
        <v>-74.599829999999997</v>
      </c>
      <c r="J660">
        <v>5.0694400000000002</v>
      </c>
      <c r="K660" t="s">
        <v>33</v>
      </c>
      <c r="L660" s="1">
        <v>44614</v>
      </c>
      <c r="M660" s="2" t="s">
        <v>536</v>
      </c>
      <c r="N660" t="s">
        <v>20</v>
      </c>
      <c r="O660" t="s">
        <v>21</v>
      </c>
      <c r="P660" t="s">
        <v>22</v>
      </c>
    </row>
    <row r="661" spans="1:16" x14ac:dyDescent="0.25">
      <c r="A661" t="s">
        <v>16</v>
      </c>
      <c r="B661" t="s">
        <v>17</v>
      </c>
      <c r="C661" t="s">
        <v>18</v>
      </c>
      <c r="D661" s="1">
        <v>44614</v>
      </c>
      <c r="E661" s="2" t="s">
        <v>537</v>
      </c>
      <c r="F661" s="3" t="str">
        <f>HYPERLINK("https://maps.google.com/maps?q=5.0673,-74.59816&amp;ll=5.0673,-74.59816&amp;z=14.75z","Cll 1, 7, , , Guaduas, Cundinamarca")</f>
        <v>Cll 1, 7, , , Guaduas, Cundinamarca</v>
      </c>
      <c r="G661">
        <v>25</v>
      </c>
      <c r="H661">
        <v>138281</v>
      </c>
      <c r="I661">
        <v>-74.598159999999993</v>
      </c>
      <c r="J661">
        <v>5.0673000000000004</v>
      </c>
      <c r="K661" t="s">
        <v>33</v>
      </c>
      <c r="L661" s="1">
        <v>44614</v>
      </c>
      <c r="M661" s="2" t="s">
        <v>537</v>
      </c>
      <c r="N661" t="s">
        <v>20</v>
      </c>
      <c r="O661" t="s">
        <v>21</v>
      </c>
      <c r="P661" t="s">
        <v>22</v>
      </c>
    </row>
    <row r="662" spans="1:16" x14ac:dyDescent="0.25">
      <c r="A662" t="s">
        <v>16</v>
      </c>
      <c r="B662" t="s">
        <v>17</v>
      </c>
      <c r="C662" t="s">
        <v>18</v>
      </c>
      <c r="D662" s="1">
        <v>44614</v>
      </c>
      <c r="E662" s="2" t="s">
        <v>538</v>
      </c>
      <c r="F662" s="3" t="str">
        <f>HYPERLINK("https://maps.google.com/maps?q=5.06563,-74.59698&amp;ll=5.06563,-74.59698&amp;z=14.75z","Cra 5, 2Sur, , , Guaduas, Cundinamarca")</f>
        <v>Cra 5, 2Sur, , , Guaduas, Cundinamarca</v>
      </c>
      <c r="G662">
        <v>5</v>
      </c>
      <c r="H662">
        <v>138281</v>
      </c>
      <c r="I662">
        <v>-74.596980000000002</v>
      </c>
      <c r="J662">
        <v>5.0656299999999996</v>
      </c>
      <c r="K662" t="s">
        <v>33</v>
      </c>
      <c r="L662" s="1">
        <v>44614</v>
      </c>
      <c r="M662" s="2" t="s">
        <v>538</v>
      </c>
      <c r="N662" t="s">
        <v>20</v>
      </c>
      <c r="O662" t="s">
        <v>21</v>
      </c>
      <c r="P662" t="s">
        <v>22</v>
      </c>
    </row>
    <row r="663" spans="1:16" x14ac:dyDescent="0.25">
      <c r="A663" t="s">
        <v>16</v>
      </c>
      <c r="B663" t="s">
        <v>17</v>
      </c>
      <c r="C663" t="s">
        <v>18</v>
      </c>
      <c r="D663" s="1">
        <v>44614</v>
      </c>
      <c r="E663" s="2" t="s">
        <v>539</v>
      </c>
      <c r="F663" s="3" t="str">
        <f>HYPERLINK("https://maps.google.com/maps?q=5.06492,-74.59585&amp;ll=5.06492,-74.59585&amp;z=14.75z","Cll 2Sur, 3, , , Guaduas, Cundinamarca")</f>
        <v>Cll 2Sur, 3, , , Guaduas, Cundinamarca</v>
      </c>
      <c r="G663">
        <v>24</v>
      </c>
      <c r="H663">
        <v>138282</v>
      </c>
      <c r="I663">
        <v>-74.595849999999999</v>
      </c>
      <c r="J663">
        <v>5.0649199999999999</v>
      </c>
      <c r="K663" t="s">
        <v>33</v>
      </c>
      <c r="L663" s="1">
        <v>44614</v>
      </c>
      <c r="M663" s="2" t="s">
        <v>539</v>
      </c>
      <c r="N663" t="s">
        <v>20</v>
      </c>
      <c r="O663" t="s">
        <v>21</v>
      </c>
      <c r="P663" t="s">
        <v>22</v>
      </c>
    </row>
    <row r="664" spans="1:16" x14ac:dyDescent="0.25">
      <c r="A664" t="s">
        <v>16</v>
      </c>
      <c r="B664" t="s">
        <v>17</v>
      </c>
      <c r="C664" t="s">
        <v>18</v>
      </c>
      <c r="D664" s="1">
        <v>44614</v>
      </c>
      <c r="E664" s="2" t="s">
        <v>540</v>
      </c>
      <c r="F664" s="3" t="str">
        <f>HYPERLINK("https://maps.google.com/maps?q=5.06441,-74.59343&amp;ll=5.06441,-74.59343&amp;z=14.75z","Cll 2Sur, , , Guaduas, Cundinamarca")</f>
        <v>Cll 2Sur, , , Guaduas, Cundinamarca</v>
      </c>
      <c r="G664">
        <v>10</v>
      </c>
      <c r="H664">
        <v>138282</v>
      </c>
      <c r="I664">
        <v>-74.593429999999998</v>
      </c>
      <c r="J664">
        <v>5.0644099999999996</v>
      </c>
      <c r="K664" t="s">
        <v>41</v>
      </c>
      <c r="L664" s="1">
        <v>44614</v>
      </c>
      <c r="M664" s="2" t="s">
        <v>540</v>
      </c>
      <c r="N664" t="s">
        <v>20</v>
      </c>
      <c r="O664" t="s">
        <v>21</v>
      </c>
      <c r="P664" t="s">
        <v>22</v>
      </c>
    </row>
    <row r="665" spans="1:16" x14ac:dyDescent="0.25">
      <c r="A665" t="s">
        <v>16</v>
      </c>
      <c r="B665" t="s">
        <v>17</v>
      </c>
      <c r="C665" t="s">
        <v>18</v>
      </c>
      <c r="D665" s="1">
        <v>44614</v>
      </c>
      <c r="E665" s="2" t="s">
        <v>541</v>
      </c>
      <c r="F665" s="3" t="str">
        <f>HYPERLINK("https://maps.google.com/maps?q=5.06288,-74.59104&amp;ll=5.06288,-74.59104&amp;z=14.75z","Vía Bogotá - Medellín, , , Guaduas, Cundinamarca")</f>
        <v>Vía Bogotá - Medellín, , , Guaduas, Cundinamarca</v>
      </c>
      <c r="G665">
        <v>17</v>
      </c>
      <c r="H665">
        <v>138282</v>
      </c>
      <c r="I665">
        <v>-74.591040000000007</v>
      </c>
      <c r="J665">
        <v>5.0628799999999998</v>
      </c>
      <c r="K665" t="s">
        <v>30</v>
      </c>
      <c r="L665" s="1">
        <v>44614</v>
      </c>
      <c r="M665" s="2" t="s">
        <v>541</v>
      </c>
      <c r="N665" t="s">
        <v>20</v>
      </c>
      <c r="O665" t="s">
        <v>21</v>
      </c>
      <c r="P665" t="s">
        <v>22</v>
      </c>
    </row>
    <row r="666" spans="1:16" x14ac:dyDescent="0.25">
      <c r="A666" t="s">
        <v>16</v>
      </c>
      <c r="B666" t="s">
        <v>17</v>
      </c>
      <c r="C666" t="s">
        <v>18</v>
      </c>
      <c r="D666" s="1">
        <v>44614</v>
      </c>
      <c r="E666" s="2" t="s">
        <v>542</v>
      </c>
      <c r="F666" s="3" t="str">
        <f>HYPERLINK("https://maps.google.com/maps?q=5.06093,-74.59009&amp;ll=5.06093,-74.59009&amp;z=14.75z","Vía Bogotá - Medellín, , , Guaduas, Cundinamarca")</f>
        <v>Vía Bogotá - Medellín, , , Guaduas, Cundinamarca</v>
      </c>
      <c r="G666">
        <v>16</v>
      </c>
      <c r="H666">
        <v>138283</v>
      </c>
      <c r="I666">
        <v>-74.590090000000004</v>
      </c>
      <c r="J666">
        <v>5.0609299999999999</v>
      </c>
      <c r="K666" t="s">
        <v>41</v>
      </c>
      <c r="L666" s="1">
        <v>44614</v>
      </c>
      <c r="M666" s="2" t="s">
        <v>542</v>
      </c>
      <c r="N666" t="s">
        <v>20</v>
      </c>
      <c r="O666" t="s">
        <v>21</v>
      </c>
      <c r="P666" t="s">
        <v>22</v>
      </c>
    </row>
    <row r="667" spans="1:16" x14ac:dyDescent="0.25">
      <c r="A667" t="s">
        <v>16</v>
      </c>
      <c r="B667" t="s">
        <v>17</v>
      </c>
      <c r="C667" t="s">
        <v>18</v>
      </c>
      <c r="D667" s="1">
        <v>44614</v>
      </c>
      <c r="E667" s="2" t="s">
        <v>543</v>
      </c>
      <c r="F667" s="3" t="str">
        <f>HYPERLINK("https://maps.google.com/maps?q=5.06282,-74.58995&amp;ll=5.06282,-74.58995&amp;z=14.75z","Vía Bogotá - Medellín, , , Guaduas, Cundinamarca")</f>
        <v>Vía Bogotá - Medellín, , , Guaduas, Cundinamarca</v>
      </c>
      <c r="G667">
        <v>20</v>
      </c>
      <c r="H667">
        <v>138283</v>
      </c>
      <c r="I667">
        <v>-74.589950000000002</v>
      </c>
      <c r="J667">
        <v>5.0628200000000003</v>
      </c>
      <c r="K667" t="s">
        <v>24</v>
      </c>
      <c r="L667" s="1">
        <v>44614</v>
      </c>
      <c r="M667" s="2" t="s">
        <v>543</v>
      </c>
      <c r="N667" t="s">
        <v>20</v>
      </c>
      <c r="O667" t="s">
        <v>21</v>
      </c>
      <c r="P667" t="s">
        <v>22</v>
      </c>
    </row>
    <row r="668" spans="1:16" x14ac:dyDescent="0.25">
      <c r="A668" t="s">
        <v>16</v>
      </c>
      <c r="B668" t="s">
        <v>17</v>
      </c>
      <c r="C668" t="s">
        <v>18</v>
      </c>
      <c r="D668" s="1">
        <v>44614</v>
      </c>
      <c r="E668" s="2" t="s">
        <v>543</v>
      </c>
      <c r="F668" s="3" t="str">
        <f>HYPERLINK("https://maps.google.com/maps?q=5.06453,-74.58824&amp;ll=5.06453,-74.58824&amp;z=14.75z","Autopista Medellín - Bogotá, Km 30.14 Villeta - Guaduas, , , Guaduas, Cundinamarca")</f>
        <v>Autopista Medellín - Bogotá, Km 30.14 Villeta - Guaduas, , , Guaduas, Cundinamarca</v>
      </c>
      <c r="G668">
        <v>19</v>
      </c>
      <c r="H668">
        <v>138283</v>
      </c>
      <c r="I668">
        <v>-74.588239999999999</v>
      </c>
      <c r="J668">
        <v>5.0645300000000004</v>
      </c>
      <c r="K668" t="s">
        <v>41</v>
      </c>
      <c r="L668" s="1">
        <v>44614</v>
      </c>
      <c r="M668" s="2" t="s">
        <v>544</v>
      </c>
      <c r="N668" t="s">
        <v>20</v>
      </c>
      <c r="O668" t="s">
        <v>21</v>
      </c>
      <c r="P668" t="s">
        <v>22</v>
      </c>
    </row>
    <row r="669" spans="1:16" x14ac:dyDescent="0.25">
      <c r="A669" t="s">
        <v>16</v>
      </c>
      <c r="B669" t="s">
        <v>17</v>
      </c>
      <c r="C669" t="s">
        <v>18</v>
      </c>
      <c r="D669" s="1">
        <v>44614</v>
      </c>
      <c r="E669" s="2" t="s">
        <v>544</v>
      </c>
      <c r="F669" s="3" t="str">
        <f>HYPERLINK("https://maps.google.com/maps?q=5.06311,-74.58469&amp;ll=5.06311,-74.58469&amp;z=14.75z","Autopista Medellín - Bogotá, Km 29.68 Villeta - Guaduas, , El Raizal Y Cajón, Guaduas, Cundinamarca")</f>
        <v>Autopista Medellín - Bogotá, Km 29.68 Villeta - Guaduas, , El Raizal Y Cajón, Guaduas, Cundinamarca</v>
      </c>
      <c r="G669">
        <v>30</v>
      </c>
      <c r="H669">
        <v>138284</v>
      </c>
      <c r="I669">
        <v>-74.584689999999995</v>
      </c>
      <c r="J669">
        <v>5.06311</v>
      </c>
      <c r="K669" t="s">
        <v>31</v>
      </c>
      <c r="L669" s="1">
        <v>44614</v>
      </c>
      <c r="M669" s="2" t="s">
        <v>545</v>
      </c>
      <c r="N669" t="s">
        <v>20</v>
      </c>
      <c r="O669" t="s">
        <v>21</v>
      </c>
      <c r="P669" t="s">
        <v>22</v>
      </c>
    </row>
    <row r="670" spans="1:16" x14ac:dyDescent="0.25">
      <c r="A670" t="s">
        <v>16</v>
      </c>
      <c r="B670" t="s">
        <v>17</v>
      </c>
      <c r="C670" t="s">
        <v>18</v>
      </c>
      <c r="D670" s="1">
        <v>44614</v>
      </c>
      <c r="E670" s="2" t="s">
        <v>545</v>
      </c>
      <c r="F670" s="3" t="str">
        <f>HYPERLINK("https://maps.google.com/maps?q=5.06095,-74.58501&amp;ll=5.06095,-74.58501&amp;z=14.75z","Autopista Medellín - Bogotá, Km 29.22 Villeta - Guaduas, , El Raizal Y Cajón, Guaduas, Cundinamarca")</f>
        <v>Autopista Medellín - Bogotá, Km 29.22 Villeta - Guaduas, , El Raizal Y Cajón, Guaduas, Cundinamarca</v>
      </c>
      <c r="G670">
        <v>30</v>
      </c>
      <c r="H670">
        <v>138284</v>
      </c>
      <c r="I670">
        <v>-74.585009999999997</v>
      </c>
      <c r="J670">
        <v>5.0609500000000001</v>
      </c>
      <c r="K670" t="s">
        <v>31</v>
      </c>
      <c r="L670" s="1">
        <v>44614</v>
      </c>
      <c r="M670" s="2" t="s">
        <v>545</v>
      </c>
      <c r="N670" t="s">
        <v>20</v>
      </c>
      <c r="O670" t="s">
        <v>21</v>
      </c>
      <c r="P670" t="s">
        <v>22</v>
      </c>
    </row>
    <row r="671" spans="1:16" x14ac:dyDescent="0.25">
      <c r="A671" t="s">
        <v>16</v>
      </c>
      <c r="B671" t="s">
        <v>17</v>
      </c>
      <c r="C671" t="s">
        <v>18</v>
      </c>
      <c r="D671" s="1">
        <v>44614</v>
      </c>
      <c r="E671" s="2" t="s">
        <v>546</v>
      </c>
      <c r="F671" s="3" t="str">
        <f>HYPERLINK("https://maps.google.com/maps?q=5.0586,-74.58182&amp;ll=5.0586,-74.58182&amp;z=14.75z","Autopista Medellín - Bogotá, Km 28.74 Villeta - Guaduas, , El Raizal Y Cajón, Guaduas, Cundinamarca")</f>
        <v>Autopista Medellín - Bogotá, Km 28.74 Villeta - Guaduas, , El Raizal Y Cajón, Guaduas, Cundinamarca</v>
      </c>
      <c r="G671">
        <v>27</v>
      </c>
      <c r="H671">
        <v>138284</v>
      </c>
      <c r="I671">
        <v>-74.581819999999993</v>
      </c>
      <c r="J671">
        <v>5.0586000000000002</v>
      </c>
      <c r="K671" t="s">
        <v>33</v>
      </c>
      <c r="L671" s="1">
        <v>44614</v>
      </c>
      <c r="M671" s="2" t="s">
        <v>546</v>
      </c>
      <c r="N671" t="s">
        <v>20</v>
      </c>
      <c r="O671" t="s">
        <v>21</v>
      </c>
      <c r="P671" t="s">
        <v>22</v>
      </c>
    </row>
    <row r="672" spans="1:16" x14ac:dyDescent="0.25">
      <c r="A672" t="s">
        <v>16</v>
      </c>
      <c r="B672" t="s">
        <v>17</v>
      </c>
      <c r="C672" t="s">
        <v>18</v>
      </c>
      <c r="D672" s="1">
        <v>44614</v>
      </c>
      <c r="E672" s="2" t="s">
        <v>547</v>
      </c>
      <c r="F672" s="3" t="str">
        <f>HYPERLINK("https://maps.google.com/maps?q=5.0571,-74.58141&amp;ll=5.0571,-74.58141&amp;z=14.75z","Autopista Medellín - Bogotá, Km 28.24 Villeta - Guaduas, , El Raizal Y Cajón, Guaduas, Cundinamarca")</f>
        <v>Autopista Medellín - Bogotá, Km 28.24 Villeta - Guaduas, , El Raizal Y Cajón, Guaduas, Cundinamarca</v>
      </c>
      <c r="G672">
        <v>28</v>
      </c>
      <c r="H672">
        <v>138285</v>
      </c>
      <c r="I672">
        <v>-74.581410000000005</v>
      </c>
      <c r="J672">
        <v>5.0571000000000002</v>
      </c>
      <c r="K672" t="s">
        <v>33</v>
      </c>
      <c r="L672" s="1">
        <v>44614</v>
      </c>
      <c r="M672" s="2" t="s">
        <v>547</v>
      </c>
      <c r="N672" t="s">
        <v>20</v>
      </c>
      <c r="O672" t="s">
        <v>21</v>
      </c>
      <c r="P672" t="s">
        <v>22</v>
      </c>
    </row>
    <row r="673" spans="1:16" x14ac:dyDescent="0.25">
      <c r="A673" t="s">
        <v>16</v>
      </c>
      <c r="B673" t="s">
        <v>17</v>
      </c>
      <c r="C673" t="s">
        <v>18</v>
      </c>
      <c r="D673" s="1">
        <v>44614</v>
      </c>
      <c r="E673" s="2" t="s">
        <v>548</v>
      </c>
      <c r="F673" s="3" t="str">
        <f>HYPERLINK("https://maps.google.com/maps?q=5.059,-74.57828&amp;ll=5.059,-74.57828&amp;z=14.75z","Autopista Medellín - Bogotá, Km 27.79 Villeta - Guaduas, , El Raizal Y Cajón, Guaduas, Cundinamarca")</f>
        <v>Autopista Medellín - Bogotá, Km 27.79 Villeta - Guaduas, , El Raizal Y Cajón, Guaduas, Cundinamarca</v>
      </c>
      <c r="G673">
        <v>21</v>
      </c>
      <c r="H673">
        <v>138285</v>
      </c>
      <c r="I673">
        <v>-74.578280000000007</v>
      </c>
      <c r="J673">
        <v>5.0590000000000002</v>
      </c>
      <c r="K673" t="s">
        <v>24</v>
      </c>
      <c r="L673" s="1">
        <v>44614</v>
      </c>
      <c r="M673" s="2" t="s">
        <v>548</v>
      </c>
      <c r="N673" t="s">
        <v>20</v>
      </c>
      <c r="O673" t="s">
        <v>21</v>
      </c>
      <c r="P673" t="s">
        <v>22</v>
      </c>
    </row>
    <row r="674" spans="1:16" x14ac:dyDescent="0.25">
      <c r="A674" t="s">
        <v>16</v>
      </c>
      <c r="B674" t="s">
        <v>17</v>
      </c>
      <c r="C674" t="s">
        <v>18</v>
      </c>
      <c r="D674" s="1">
        <v>44614</v>
      </c>
      <c r="E674" s="2" t="s">
        <v>549</v>
      </c>
      <c r="F674" s="3" t="str">
        <f>HYPERLINK("https://maps.google.com/maps?q=5.05735,-74.57691&amp;ll=5.05735,-74.57691&amp;z=14.75z","Autopista Medellín - Bogotá, Km 27.41 Villeta - Guaduas, , El Raizal Y Cajón, Guaduas, Cundinamarca")</f>
        <v>Autopista Medellín - Bogotá, Km 27.41 Villeta - Guaduas, , El Raizal Y Cajón, Guaduas, Cundinamarca</v>
      </c>
      <c r="G674">
        <v>29</v>
      </c>
      <c r="H674">
        <v>138286</v>
      </c>
      <c r="I674">
        <v>-74.576909999999998</v>
      </c>
      <c r="J674">
        <v>5.0573499999999996</v>
      </c>
      <c r="K674" t="s">
        <v>33</v>
      </c>
      <c r="L674" s="1">
        <v>44614</v>
      </c>
      <c r="M674" s="2" t="s">
        <v>549</v>
      </c>
      <c r="N674" t="s">
        <v>20</v>
      </c>
      <c r="O674" t="s">
        <v>21</v>
      </c>
      <c r="P674" t="s">
        <v>22</v>
      </c>
    </row>
    <row r="675" spans="1:16" x14ac:dyDescent="0.25">
      <c r="A675" t="s">
        <v>16</v>
      </c>
      <c r="B675" t="s">
        <v>17</v>
      </c>
      <c r="C675" t="s">
        <v>18</v>
      </c>
      <c r="D675" s="1">
        <v>44614</v>
      </c>
      <c r="E675" s="2" t="s">
        <v>550</v>
      </c>
      <c r="F675" s="3" t="str">
        <f>HYPERLINK("https://maps.google.com/maps?q=5.05995,-74.57565&amp;ll=5.05995,-74.57565&amp;z=14.75z","Autopista Medellín - Bogotá, Km 26.9 Villeta - Guaduas, , El Raizal Y Cajón, Guaduas, Cundinamarca")</f>
        <v>Autopista Medellín - Bogotá, Km 26.9 Villeta - Guaduas, , El Raizal Y Cajón, Guaduas, Cundinamarca</v>
      </c>
      <c r="G675">
        <v>27</v>
      </c>
      <c r="H675">
        <v>138286</v>
      </c>
      <c r="I675">
        <v>-74.575649999999996</v>
      </c>
      <c r="J675">
        <v>5.0599499999999997</v>
      </c>
      <c r="K675" t="s">
        <v>23</v>
      </c>
      <c r="L675" s="1">
        <v>44614</v>
      </c>
      <c r="M675" s="2" t="s">
        <v>550</v>
      </c>
      <c r="N675" t="s">
        <v>20</v>
      </c>
      <c r="O675" t="s">
        <v>21</v>
      </c>
      <c r="P675" t="s">
        <v>22</v>
      </c>
    </row>
    <row r="676" spans="1:16" x14ac:dyDescent="0.25">
      <c r="A676" t="s">
        <v>16</v>
      </c>
      <c r="B676" t="s">
        <v>17</v>
      </c>
      <c r="C676" t="s">
        <v>18</v>
      </c>
      <c r="D676" s="1">
        <v>44614</v>
      </c>
      <c r="E676" s="2" t="s">
        <v>551</v>
      </c>
      <c r="F676" s="3" t="str">
        <f>HYPERLINK("https://maps.google.com/maps?q=5.06386,-74.57471&amp;ll=5.06386,-74.57471&amp;z=14.75z","Autopista Medellín - Bogotá, Km 26.47 Villeta - Guaduas, , El Raizal Y Cajón, Guaduas, Cundinamarca")</f>
        <v>Autopista Medellín - Bogotá, Km 26.47 Villeta - Guaduas, , El Raizal Y Cajón, Guaduas, Cundinamarca</v>
      </c>
      <c r="G676">
        <v>29</v>
      </c>
      <c r="H676">
        <v>138287</v>
      </c>
      <c r="I676">
        <v>-74.574709999999996</v>
      </c>
      <c r="J676">
        <v>5.06386</v>
      </c>
      <c r="K676" t="s">
        <v>24</v>
      </c>
      <c r="L676" s="1">
        <v>44614</v>
      </c>
      <c r="M676" s="2" t="s">
        <v>551</v>
      </c>
      <c r="N676" t="s">
        <v>20</v>
      </c>
      <c r="O676" t="s">
        <v>21</v>
      </c>
      <c r="P676" t="s">
        <v>22</v>
      </c>
    </row>
    <row r="677" spans="1:16" x14ac:dyDescent="0.25">
      <c r="A677" t="s">
        <v>16</v>
      </c>
      <c r="B677" t="s">
        <v>17</v>
      </c>
      <c r="C677" t="s">
        <v>18</v>
      </c>
      <c r="D677" s="1">
        <v>44614</v>
      </c>
      <c r="E677" s="2" t="s">
        <v>324</v>
      </c>
      <c r="F677" s="3" t="str">
        <f>HYPERLINK("https://maps.google.com/maps?q=5.06614,-74.57188&amp;ll=5.06614,-74.57188&amp;z=14.75z","Autopista Medellín - Bogotá, Km 26.01 Villeta - Guaduas, , El Raizal Y Cajón, Guaduas, Cundinamarca")</f>
        <v>Autopista Medellín - Bogotá, Km 26.01 Villeta - Guaduas, , El Raizal Y Cajón, Guaduas, Cundinamarca</v>
      </c>
      <c r="G677">
        <v>24</v>
      </c>
      <c r="H677">
        <v>138287</v>
      </c>
      <c r="I677">
        <v>-74.571879999999993</v>
      </c>
      <c r="J677">
        <v>5.0661399999999999</v>
      </c>
      <c r="K677" t="s">
        <v>23</v>
      </c>
      <c r="L677" s="1">
        <v>44614</v>
      </c>
      <c r="M677" s="2" t="s">
        <v>324</v>
      </c>
      <c r="N677" t="s">
        <v>20</v>
      </c>
      <c r="O677" t="s">
        <v>21</v>
      </c>
      <c r="P677" t="s">
        <v>22</v>
      </c>
    </row>
    <row r="678" spans="1:16" x14ac:dyDescent="0.25">
      <c r="A678" t="s">
        <v>16</v>
      </c>
      <c r="B678" t="s">
        <v>17</v>
      </c>
      <c r="C678" t="s">
        <v>18</v>
      </c>
      <c r="D678" s="1">
        <v>44614</v>
      </c>
      <c r="E678" s="2" t="s">
        <v>325</v>
      </c>
      <c r="F678" s="3" t="str">
        <f>HYPERLINK("https://maps.google.com/maps?q=5.06982,-74.57124&amp;ll=5.06982,-74.57124&amp;z=14.75z","Autopista Medellín - Bogotá, Km 25.58 Villeta - Guaduas, , El Raizal Y Cajón, Guaduas, Cundinamarca")</f>
        <v>Autopista Medellín - Bogotá, Km 25.58 Villeta - Guaduas, , El Raizal Y Cajón, Guaduas, Cundinamarca</v>
      </c>
      <c r="G678">
        <v>29</v>
      </c>
      <c r="H678">
        <v>138287</v>
      </c>
      <c r="I678">
        <v>-74.571240000000003</v>
      </c>
      <c r="J678">
        <v>5.06982</v>
      </c>
      <c r="K678" t="s">
        <v>24</v>
      </c>
      <c r="L678" s="1">
        <v>44614</v>
      </c>
      <c r="M678" s="2" t="s">
        <v>325</v>
      </c>
      <c r="N678" t="s">
        <v>20</v>
      </c>
      <c r="O678" t="s">
        <v>21</v>
      </c>
      <c r="P678" t="s">
        <v>22</v>
      </c>
    </row>
    <row r="679" spans="1:16" x14ac:dyDescent="0.25">
      <c r="A679" t="s">
        <v>16</v>
      </c>
      <c r="B679" t="s">
        <v>17</v>
      </c>
      <c r="C679" t="s">
        <v>18</v>
      </c>
      <c r="D679" s="1">
        <v>44614</v>
      </c>
      <c r="E679" s="2" t="s">
        <v>552</v>
      </c>
      <c r="F679" s="3" t="str">
        <f>HYPERLINK("https://maps.google.com/maps?q=5.07147,-74.56832&amp;ll=5.07147,-74.56832&amp;z=14.75z","Autopista Medellín - Bogotá, Km 25.2 Villeta - Guaduas, , El Raizal Y Cajón, Guaduas, Cundinamarca")</f>
        <v>Autopista Medellín - Bogotá, Km 25.2 Villeta - Guaduas, , El Raizal Y Cajón, Guaduas, Cundinamarca</v>
      </c>
      <c r="G679">
        <v>22</v>
      </c>
      <c r="H679">
        <v>138288</v>
      </c>
      <c r="I679">
        <v>-74.56832</v>
      </c>
      <c r="J679">
        <v>5.0714699999999997</v>
      </c>
      <c r="K679" t="s">
        <v>24</v>
      </c>
      <c r="L679" s="1">
        <v>44614</v>
      </c>
      <c r="M679" s="2" t="s">
        <v>557</v>
      </c>
      <c r="N679" t="s">
        <v>20</v>
      </c>
      <c r="O679" t="s">
        <v>21</v>
      </c>
      <c r="P679" t="s">
        <v>22</v>
      </c>
    </row>
    <row r="680" spans="1:16" x14ac:dyDescent="0.25">
      <c r="A680" t="s">
        <v>16</v>
      </c>
      <c r="B680" t="s">
        <v>17</v>
      </c>
      <c r="C680" t="s">
        <v>18</v>
      </c>
      <c r="D680" s="1">
        <v>44614</v>
      </c>
      <c r="E680" s="2" t="s">
        <v>553</v>
      </c>
      <c r="F680" s="3" t="str">
        <f>HYPERLINK("https://maps.google.com/maps?q=5.07474,-74.56893&amp;ll=5.07474,-74.56893&amp;z=14.75z","Autopista Medellín - Bogotá, Km 24.79 Villeta - Guaduas, , El Raizal Y Cajón, Guaduas, Cundinamarca")</f>
        <v>Autopista Medellín - Bogotá, Km 24.79 Villeta - Guaduas, , El Raizal Y Cajón, Guaduas, Cundinamarca</v>
      </c>
      <c r="G680">
        <v>19</v>
      </c>
      <c r="H680">
        <v>138288</v>
      </c>
      <c r="I680">
        <v>-74.568929999999995</v>
      </c>
      <c r="J680">
        <v>5.0747400000000003</v>
      </c>
      <c r="K680" t="s">
        <v>23</v>
      </c>
      <c r="L680" s="1">
        <v>44614</v>
      </c>
      <c r="M680" s="2" t="s">
        <v>557</v>
      </c>
      <c r="N680" t="s">
        <v>20</v>
      </c>
      <c r="O680" t="s">
        <v>21</v>
      </c>
      <c r="P680" t="s">
        <v>22</v>
      </c>
    </row>
    <row r="681" spans="1:16" x14ac:dyDescent="0.25">
      <c r="A681" t="s">
        <v>16</v>
      </c>
      <c r="B681" t="s">
        <v>17</v>
      </c>
      <c r="C681" t="s">
        <v>18</v>
      </c>
      <c r="D681" s="1">
        <v>44614</v>
      </c>
      <c r="E681" s="2" t="s">
        <v>554</v>
      </c>
      <c r="F681" s="3" t="str">
        <f>HYPERLINK("https://maps.google.com/maps?q=5.07626,-74.56625&amp;ll=5.07626,-74.56625&amp;z=14.75z","Autopista Medellín - Bogotá, Km 24.36 Villeta - Guaduas, , El Raizal Y Cajón, Guaduas, Cundinamarca")</f>
        <v>Autopista Medellín - Bogotá, Km 24.36 Villeta - Guaduas, , El Raizal Y Cajón, Guaduas, Cundinamarca</v>
      </c>
      <c r="G681">
        <v>25</v>
      </c>
      <c r="H681">
        <v>138289</v>
      </c>
      <c r="I681">
        <v>-74.566249999999997</v>
      </c>
      <c r="J681">
        <v>5.0762600000000004</v>
      </c>
      <c r="K681" t="s">
        <v>41</v>
      </c>
      <c r="L681" s="1">
        <v>44614</v>
      </c>
      <c r="M681" s="2" t="s">
        <v>557</v>
      </c>
      <c r="N681" t="s">
        <v>20</v>
      </c>
      <c r="O681" t="s">
        <v>21</v>
      </c>
      <c r="P681" t="s">
        <v>22</v>
      </c>
    </row>
    <row r="682" spans="1:16" x14ac:dyDescent="0.25">
      <c r="A682" t="s">
        <v>16</v>
      </c>
      <c r="B682" t="s">
        <v>17</v>
      </c>
      <c r="C682" t="s">
        <v>18</v>
      </c>
      <c r="D682" s="1">
        <v>44614</v>
      </c>
      <c r="E682" s="2" t="s">
        <v>555</v>
      </c>
      <c r="F682" s="3" t="str">
        <f>HYPERLINK("https://maps.google.com/maps?q=5.07307,-74.56287&amp;ll=5.07307,-74.56287&amp;z=14.75z","Autopista Medellín - Bogotá, Km 23.82 Villeta - Guaduas, , El Raizal Y Cajón, Guaduas, Cundinamarca")</f>
        <v>Autopista Medellín - Bogotá, Km 23.82 Villeta - Guaduas, , El Raizal Y Cajón, Guaduas, Cundinamarca</v>
      </c>
      <c r="G682">
        <v>38</v>
      </c>
      <c r="H682">
        <v>138289</v>
      </c>
      <c r="I682">
        <v>-74.562870000000004</v>
      </c>
      <c r="J682">
        <v>5.0730700000000004</v>
      </c>
      <c r="K682" t="s">
        <v>33</v>
      </c>
      <c r="L682" s="1">
        <v>44614</v>
      </c>
      <c r="M682" s="2" t="s">
        <v>557</v>
      </c>
      <c r="N682" t="s">
        <v>20</v>
      </c>
      <c r="O682" t="s">
        <v>21</v>
      </c>
      <c r="P682" t="s">
        <v>22</v>
      </c>
    </row>
    <row r="683" spans="1:16" x14ac:dyDescent="0.25">
      <c r="A683" t="s">
        <v>16</v>
      </c>
      <c r="B683" t="s">
        <v>17</v>
      </c>
      <c r="C683" t="s">
        <v>18</v>
      </c>
      <c r="D683" s="1">
        <v>44614</v>
      </c>
      <c r="E683" s="2" t="s">
        <v>555</v>
      </c>
      <c r="F683" s="3" t="str">
        <f>HYPERLINK("https://maps.google.com/maps?q=5.06878,-74.56021&amp;ll=5.06878,-74.56021&amp;z=14.75z","Autopista Medellín - Bogotá, Km 23.21 Villeta - Guaduas, , El Raizal Y Cajón, Guaduas, Cundinamarca")</f>
        <v>Autopista Medellín - Bogotá, Km 23.21 Villeta - Guaduas, , El Raizal Y Cajón, Guaduas, Cundinamarca</v>
      </c>
      <c r="G683">
        <v>41</v>
      </c>
      <c r="H683">
        <v>138290</v>
      </c>
      <c r="I683">
        <v>-74.560209999999998</v>
      </c>
      <c r="J683">
        <v>5.0687800000000003</v>
      </c>
      <c r="K683" t="s">
        <v>31</v>
      </c>
      <c r="L683" s="1">
        <v>44614</v>
      </c>
      <c r="M683" s="2" t="s">
        <v>557</v>
      </c>
      <c r="N683" t="s">
        <v>20</v>
      </c>
      <c r="O683" t="s">
        <v>21</v>
      </c>
      <c r="P683" t="s">
        <v>22</v>
      </c>
    </row>
    <row r="684" spans="1:16" x14ac:dyDescent="0.25">
      <c r="A684" t="s">
        <v>16</v>
      </c>
      <c r="B684" t="s">
        <v>17</v>
      </c>
      <c r="C684" t="s">
        <v>27</v>
      </c>
      <c r="D684" s="1">
        <v>44614</v>
      </c>
      <c r="E684" s="2" t="s">
        <v>556</v>
      </c>
      <c r="F684" s="3" t="str">
        <f>HYPERLINK("https://maps.google.com/maps?q=5.06705,-74.56078&amp;ll=5.06705,-74.56078&amp;z=14.75z","Autopista Medellín - Bogotá, Km 23.03 Villeta - Guaduas, , El Raizal Y Cajón, Guaduas, Cundinamarca")</f>
        <v>Autopista Medellín - Bogotá, Km 23.03 Villeta - Guaduas, , El Raizal Y Cajón, Guaduas, Cundinamarca</v>
      </c>
      <c r="G684">
        <v>40</v>
      </c>
      <c r="H684">
        <v>138290</v>
      </c>
      <c r="I684">
        <v>-74.560779999999994</v>
      </c>
      <c r="J684">
        <v>5.0670500000000001</v>
      </c>
      <c r="K684" t="s">
        <v>31</v>
      </c>
      <c r="L684" s="1">
        <v>44614</v>
      </c>
      <c r="M684" s="2" t="s">
        <v>556</v>
      </c>
      <c r="N684" t="s">
        <v>20</v>
      </c>
      <c r="O684" t="s">
        <v>21</v>
      </c>
      <c r="P684" t="s">
        <v>22</v>
      </c>
    </row>
    <row r="685" spans="1:16" x14ac:dyDescent="0.25">
      <c r="A685" t="s">
        <v>16</v>
      </c>
      <c r="B685" t="s">
        <v>17</v>
      </c>
      <c r="C685" t="s">
        <v>18</v>
      </c>
      <c r="D685" s="1">
        <v>44614</v>
      </c>
      <c r="E685" s="2" t="s">
        <v>556</v>
      </c>
      <c r="F685" s="3" t="str">
        <f>HYPERLINK("https://maps.google.com/maps?q=5.06369,-74.56081&amp;ll=5.06369,-74.56081&amp;z=14.75z","Autopista Medellín - Bogotá, Km 22.61 Villeta - Guaduas, , El Raizal Y Cajón, Guaduas, Cundinamarca")</f>
        <v>Autopista Medellín - Bogotá, Km 22.61 Villeta - Guaduas, , El Raizal Y Cajón, Guaduas, Cundinamarca</v>
      </c>
      <c r="G685">
        <v>30</v>
      </c>
      <c r="H685">
        <v>138290</v>
      </c>
      <c r="I685">
        <v>-74.560810000000004</v>
      </c>
      <c r="J685">
        <v>5.0636900000000002</v>
      </c>
      <c r="K685" t="s">
        <v>31</v>
      </c>
      <c r="L685" s="1">
        <v>44614</v>
      </c>
      <c r="M685" s="2" t="s">
        <v>557</v>
      </c>
      <c r="N685" t="s">
        <v>20</v>
      </c>
      <c r="O685" t="s">
        <v>21</v>
      </c>
      <c r="P685" t="s">
        <v>22</v>
      </c>
    </row>
    <row r="686" spans="1:16" x14ac:dyDescent="0.25">
      <c r="A686" t="s">
        <v>16</v>
      </c>
      <c r="B686" t="s">
        <v>17</v>
      </c>
      <c r="C686" t="s">
        <v>27</v>
      </c>
      <c r="D686" s="1">
        <v>44614</v>
      </c>
      <c r="E686" s="2" t="s">
        <v>557</v>
      </c>
      <c r="F686" s="3" t="str">
        <f>HYPERLINK("https://maps.google.com/maps?q=5.06329,-74.56069&amp;ll=5.06329,-74.56069&amp;z=14.75z","Autopista Medellín - Bogotá, Km 22.57 Villeta - Guaduas, , El Raizal Y Cajón, Guaduas, Cundinamarca")</f>
        <v>Autopista Medellín - Bogotá, Km 22.57 Villeta - Guaduas, , El Raizal Y Cajón, Guaduas, Cundinamarca</v>
      </c>
      <c r="G686">
        <v>28</v>
      </c>
      <c r="H686">
        <v>138290</v>
      </c>
      <c r="I686">
        <v>-74.560689999999994</v>
      </c>
      <c r="J686">
        <v>5.0632900000000003</v>
      </c>
      <c r="K686" t="s">
        <v>33</v>
      </c>
      <c r="L686" s="1">
        <v>44614</v>
      </c>
      <c r="M686" s="2" t="s">
        <v>557</v>
      </c>
      <c r="N686" t="s">
        <v>20</v>
      </c>
      <c r="O686" t="s">
        <v>21</v>
      </c>
      <c r="P686" t="s">
        <v>22</v>
      </c>
    </row>
    <row r="687" spans="1:16" x14ac:dyDescent="0.25">
      <c r="A687" t="s">
        <v>16</v>
      </c>
      <c r="B687" t="s">
        <v>17</v>
      </c>
      <c r="C687" t="s">
        <v>18</v>
      </c>
      <c r="D687" s="1">
        <v>44614</v>
      </c>
      <c r="E687" s="2" t="s">
        <v>557</v>
      </c>
      <c r="F687" s="3" t="str">
        <f>HYPERLINK("https://maps.google.com/maps?q=5.06007,-74.5604&amp;ll=5.06007,-74.5604&amp;z=14.75z","Autopista Medellín - Bogotá, Km 22.06 Villeta - Guaduas, , El Raizal Y Cajón, Guaduas, Cundinamarca")</f>
        <v>Autopista Medellín - Bogotá, Km 22.06 Villeta - Guaduas, , El Raizal Y Cajón, Guaduas, Cundinamarca</v>
      </c>
      <c r="G687">
        <v>25</v>
      </c>
      <c r="H687">
        <v>138291</v>
      </c>
      <c r="I687">
        <v>-74.560400000000001</v>
      </c>
      <c r="J687">
        <v>5.0600699999999996</v>
      </c>
      <c r="K687" t="s">
        <v>31</v>
      </c>
      <c r="L687" s="1">
        <v>44614</v>
      </c>
      <c r="M687" s="2" t="s">
        <v>558</v>
      </c>
      <c r="N687" t="s">
        <v>20</v>
      </c>
      <c r="O687" t="s">
        <v>21</v>
      </c>
      <c r="P687" t="s">
        <v>22</v>
      </c>
    </row>
    <row r="688" spans="1:16" x14ac:dyDescent="0.25">
      <c r="A688" t="s">
        <v>16</v>
      </c>
      <c r="B688" t="s">
        <v>17</v>
      </c>
      <c r="C688" t="s">
        <v>18</v>
      </c>
      <c r="D688" s="1">
        <v>44614</v>
      </c>
      <c r="E688" s="2" t="s">
        <v>558</v>
      </c>
      <c r="F688" s="3" t="str">
        <f>HYPERLINK("https://maps.google.com/maps?q=5.05568,-74.55998&amp;ll=5.05568,-74.55998&amp;z=14.75z","Autopista Medellín - Bogotá, Km 21.69 Villeta - Guaduas, , El Trigo, Guaduas, Cundinamarca")</f>
        <v>Autopista Medellín - Bogotá, Km 21.69 Villeta - Guaduas, , El Trigo, Guaduas, Cundinamarca</v>
      </c>
      <c r="G688">
        <v>31</v>
      </c>
      <c r="H688">
        <v>138291</v>
      </c>
      <c r="I688">
        <v>-74.559979999999996</v>
      </c>
      <c r="J688">
        <v>5.0556799999999997</v>
      </c>
      <c r="K688" t="s">
        <v>31</v>
      </c>
      <c r="L688" s="1">
        <v>44614</v>
      </c>
      <c r="M688" s="2" t="s">
        <v>558</v>
      </c>
      <c r="N688" t="s">
        <v>20</v>
      </c>
      <c r="O688" t="s">
        <v>21</v>
      </c>
      <c r="P688" t="s">
        <v>22</v>
      </c>
    </row>
    <row r="689" spans="1:16" x14ac:dyDescent="0.25">
      <c r="A689" t="s">
        <v>16</v>
      </c>
      <c r="B689" t="s">
        <v>17</v>
      </c>
      <c r="C689" t="s">
        <v>18</v>
      </c>
      <c r="D689" s="1">
        <v>44614</v>
      </c>
      <c r="E689" s="2" t="s">
        <v>559</v>
      </c>
      <c r="F689" s="3" t="str">
        <f>HYPERLINK("https://maps.google.com/maps?q=5.05152,-74.55833&amp;ll=5.05152,-74.55833&amp;z=14.75z","Autopista Medellín - Bogotá, Km 21.18 Villeta - Guaduas, , El Trigo, Guaduas, Cundinamarca")</f>
        <v>Autopista Medellín - Bogotá, Km 21.18 Villeta - Guaduas, , El Trigo, Guaduas, Cundinamarca</v>
      </c>
      <c r="G689">
        <v>33</v>
      </c>
      <c r="H689">
        <v>138292</v>
      </c>
      <c r="I689">
        <v>-74.558329999999998</v>
      </c>
      <c r="J689">
        <v>5.05152</v>
      </c>
      <c r="K689" t="s">
        <v>33</v>
      </c>
      <c r="L689" s="1">
        <v>44614</v>
      </c>
      <c r="M689" s="2" t="s">
        <v>559</v>
      </c>
      <c r="N689" t="s">
        <v>20</v>
      </c>
      <c r="O689" t="s">
        <v>21</v>
      </c>
      <c r="P689" t="s">
        <v>22</v>
      </c>
    </row>
    <row r="690" spans="1:16" x14ac:dyDescent="0.25">
      <c r="A690" t="s">
        <v>16</v>
      </c>
      <c r="B690" t="s">
        <v>17</v>
      </c>
      <c r="C690" t="s">
        <v>18</v>
      </c>
      <c r="D690" s="1">
        <v>44614</v>
      </c>
      <c r="E690" s="2" t="s">
        <v>560</v>
      </c>
      <c r="F690" s="3" t="str">
        <f>HYPERLINK("https://maps.google.com/maps?q=5.04694,-74.55717&amp;ll=5.04694,-74.55717&amp;z=14.75z","Autopista Medellín - Bogotá, Km 20.63 Villeta - Guaduas, , El Trigo, Guaduas, Cundinamarca")</f>
        <v>Autopista Medellín - Bogotá, Km 20.63 Villeta - Guaduas, , El Trigo, Guaduas, Cundinamarca</v>
      </c>
      <c r="G690">
        <v>34</v>
      </c>
      <c r="H690">
        <v>138292</v>
      </c>
      <c r="I690">
        <v>-74.557169999999999</v>
      </c>
      <c r="J690">
        <v>5.0469400000000002</v>
      </c>
      <c r="K690" t="s">
        <v>31</v>
      </c>
      <c r="L690" s="1">
        <v>44614</v>
      </c>
      <c r="M690" s="2" t="s">
        <v>560</v>
      </c>
      <c r="N690" t="s">
        <v>20</v>
      </c>
      <c r="O690" t="s">
        <v>21</v>
      </c>
      <c r="P690" t="s">
        <v>22</v>
      </c>
    </row>
    <row r="691" spans="1:16" x14ac:dyDescent="0.25">
      <c r="A691" t="s">
        <v>16</v>
      </c>
      <c r="B691" t="s">
        <v>17</v>
      </c>
      <c r="C691" t="s">
        <v>18</v>
      </c>
      <c r="D691" s="1">
        <v>44614</v>
      </c>
      <c r="E691" s="2" t="s">
        <v>561</v>
      </c>
      <c r="F691" s="3" t="str">
        <f>HYPERLINK("https://maps.google.com/maps?q=5.0434,-74.55649&amp;ll=5.0434,-74.55649&amp;z=14.75z","Autopista Medellín - Bogotá, Km 20.22 Villeta - Guaduas, , El Trigo, Guaduas, Cundinamarca")</f>
        <v>Autopista Medellín - Bogotá, Km 20.22 Villeta - Guaduas, , El Trigo, Guaduas, Cundinamarca</v>
      </c>
      <c r="G691">
        <v>36</v>
      </c>
      <c r="H691">
        <v>138293</v>
      </c>
      <c r="I691">
        <v>-74.556489999999997</v>
      </c>
      <c r="J691">
        <v>5.0434000000000001</v>
      </c>
      <c r="K691" t="s">
        <v>33</v>
      </c>
      <c r="L691" s="1">
        <v>44614</v>
      </c>
      <c r="M691" s="2" t="s">
        <v>561</v>
      </c>
      <c r="N691" t="s">
        <v>20</v>
      </c>
      <c r="O691" t="s">
        <v>21</v>
      </c>
      <c r="P691" t="s">
        <v>22</v>
      </c>
    </row>
    <row r="692" spans="1:16" x14ac:dyDescent="0.25">
      <c r="A692" t="s">
        <v>16</v>
      </c>
      <c r="B692" t="s">
        <v>17</v>
      </c>
      <c r="C692" t="s">
        <v>18</v>
      </c>
      <c r="D692" s="1">
        <v>44614</v>
      </c>
      <c r="E692" s="2" t="s">
        <v>562</v>
      </c>
      <c r="F692" s="3" t="str">
        <f>HYPERLINK("https://maps.google.com/maps?q=5.03837,-74.55513&amp;ll=5.03837,-74.55513&amp;z=14.75z","Autopista Medellín - Bogotá, Km 19.59 Villeta - Guaduas, , El Trigo, Guaduas, Cundinamarca")</f>
        <v>Autopista Medellín - Bogotá, Km 19.59 Villeta - Guaduas, , El Trigo, Guaduas, Cundinamarca</v>
      </c>
      <c r="G692">
        <v>33</v>
      </c>
      <c r="H692">
        <v>138293</v>
      </c>
      <c r="I692">
        <v>-74.555130000000005</v>
      </c>
      <c r="J692">
        <v>5.0383699999999996</v>
      </c>
      <c r="K692" t="s">
        <v>31</v>
      </c>
      <c r="L692" s="1">
        <v>44614</v>
      </c>
      <c r="M692" s="2" t="s">
        <v>562</v>
      </c>
      <c r="N692" t="s">
        <v>20</v>
      </c>
      <c r="O692" t="s">
        <v>21</v>
      </c>
      <c r="P692" t="s">
        <v>22</v>
      </c>
    </row>
    <row r="693" spans="1:16" x14ac:dyDescent="0.25">
      <c r="A693" t="s">
        <v>16</v>
      </c>
      <c r="B693" t="s">
        <v>17</v>
      </c>
      <c r="C693" t="s">
        <v>18</v>
      </c>
      <c r="D693" s="1">
        <v>44614</v>
      </c>
      <c r="E693" s="2" t="s">
        <v>563</v>
      </c>
      <c r="F693" s="3" t="str">
        <f>HYPERLINK("https://maps.google.com/maps?q=5.03345,-74.55345&amp;ll=5.03345,-74.55345&amp;z=14.75z","Autopista Medellín - Bogotá, Km 19.03 Villeta - Guaduas, , El Trigo, Guaduas, Cundinamarca")</f>
        <v>Autopista Medellín - Bogotá, Km 19.03 Villeta - Guaduas, , El Trigo, Guaduas, Cundinamarca</v>
      </c>
      <c r="G693">
        <v>38</v>
      </c>
      <c r="H693">
        <v>138294</v>
      </c>
      <c r="I693">
        <v>-74.553449999999998</v>
      </c>
      <c r="J693">
        <v>5.0334500000000002</v>
      </c>
      <c r="K693" t="s">
        <v>33</v>
      </c>
      <c r="L693" s="1">
        <v>44614</v>
      </c>
      <c r="M693" s="2" t="s">
        <v>563</v>
      </c>
      <c r="N693" t="s">
        <v>20</v>
      </c>
      <c r="O693" t="s">
        <v>21</v>
      </c>
      <c r="P693" t="s">
        <v>22</v>
      </c>
    </row>
    <row r="694" spans="1:16" x14ac:dyDescent="0.25">
      <c r="A694" t="s">
        <v>16</v>
      </c>
      <c r="B694" t="s">
        <v>17</v>
      </c>
      <c r="C694" t="s">
        <v>18</v>
      </c>
      <c r="D694" s="1">
        <v>44614</v>
      </c>
      <c r="E694" s="2" t="s">
        <v>564</v>
      </c>
      <c r="F694" s="3" t="str">
        <f>HYPERLINK("https://maps.google.com/maps?q=5.0301,-74.55188&amp;ll=5.0301,-74.55188&amp;z=14.75z","Autopista Medellín - Bogotá, Km 18.61 Villeta - Guaduas, , La Cabaña, Guaduas, Cundinamarca")</f>
        <v>Autopista Medellín - Bogotá, Km 18.61 Villeta - Guaduas, , La Cabaña, Guaduas, Cundinamarca</v>
      </c>
      <c r="G694">
        <v>27</v>
      </c>
      <c r="H694">
        <v>138294</v>
      </c>
      <c r="I694">
        <v>-74.551879999999997</v>
      </c>
      <c r="J694">
        <v>5.0301</v>
      </c>
      <c r="K694" t="s">
        <v>31</v>
      </c>
      <c r="L694" s="1">
        <v>44614</v>
      </c>
      <c r="M694" s="2" t="s">
        <v>564</v>
      </c>
      <c r="N694" t="s">
        <v>20</v>
      </c>
      <c r="O694" t="s">
        <v>21</v>
      </c>
      <c r="P694" t="s">
        <v>22</v>
      </c>
    </row>
    <row r="695" spans="1:16" x14ac:dyDescent="0.25">
      <c r="A695" t="s">
        <v>16</v>
      </c>
      <c r="B695" t="s">
        <v>17</v>
      </c>
      <c r="C695" t="s">
        <v>18</v>
      </c>
      <c r="D695" s="1">
        <v>44614</v>
      </c>
      <c r="E695" s="2" t="s">
        <v>565</v>
      </c>
      <c r="F695" s="3" t="str">
        <f>HYPERLINK("https://maps.google.com/maps?q=5.02569,-74.55023&amp;ll=5.02569,-74.55023&amp;z=14.75z","Autopista Medellín - Bogotá, Km 18.05 Villeta - Guaduas, , La Cabaña, Guaduas, Cundinamarca")</f>
        <v>Autopista Medellín - Bogotá, Km 18.05 Villeta - Guaduas, , La Cabaña, Guaduas, Cundinamarca</v>
      </c>
      <c r="G695">
        <v>39</v>
      </c>
      <c r="H695">
        <v>138295</v>
      </c>
      <c r="I695">
        <v>-74.550229999999999</v>
      </c>
      <c r="J695">
        <v>5.02569</v>
      </c>
      <c r="K695" t="s">
        <v>31</v>
      </c>
      <c r="L695" s="1">
        <v>44614</v>
      </c>
      <c r="M695" s="2" t="s">
        <v>565</v>
      </c>
      <c r="N695" t="s">
        <v>20</v>
      </c>
      <c r="O695" t="s">
        <v>21</v>
      </c>
      <c r="P695" t="s">
        <v>22</v>
      </c>
    </row>
    <row r="696" spans="1:16" x14ac:dyDescent="0.25">
      <c r="A696" t="s">
        <v>16</v>
      </c>
      <c r="B696" t="s">
        <v>17</v>
      </c>
      <c r="C696" t="s">
        <v>18</v>
      </c>
      <c r="D696" s="1">
        <v>44614</v>
      </c>
      <c r="E696" s="2" t="s">
        <v>566</v>
      </c>
      <c r="F696" s="3" t="str">
        <f>HYPERLINK("https://maps.google.com/maps?q=5.02135,-74.54324&amp;ll=5.02135,-74.54324&amp;z=14.75z","Autopista Medellín - Bogotá, Km 16.89 Villeta - Guaduas, , Balu, Guaduas, Cundinamarca")</f>
        <v>Autopista Medellín - Bogotá, Km 16.89 Villeta - Guaduas, , Balu, Guaduas, Cundinamarca</v>
      </c>
      <c r="G696">
        <v>36</v>
      </c>
      <c r="H696">
        <v>138296</v>
      </c>
      <c r="I696">
        <v>-74.543239999999997</v>
      </c>
      <c r="J696">
        <v>5.02135</v>
      </c>
      <c r="K696" t="s">
        <v>31</v>
      </c>
      <c r="L696" s="1">
        <v>44614</v>
      </c>
      <c r="M696" s="2" t="s">
        <v>566</v>
      </c>
      <c r="N696" t="s">
        <v>20</v>
      </c>
      <c r="O696" t="s">
        <v>21</v>
      </c>
      <c r="P696" t="s">
        <v>22</v>
      </c>
    </row>
    <row r="697" spans="1:16" x14ac:dyDescent="0.25">
      <c r="A697" t="s">
        <v>16</v>
      </c>
      <c r="B697" t="s">
        <v>17</v>
      </c>
      <c r="C697" t="s">
        <v>18</v>
      </c>
      <c r="D697" s="1">
        <v>44614</v>
      </c>
      <c r="E697" s="2" t="s">
        <v>567</v>
      </c>
      <c r="F697" s="3" t="str">
        <f>HYPERLINK("https://maps.google.com/maps?q=5.01794,-74.54086&amp;ll=5.01794,-74.54086&amp;z=14.75z","Vía Bogotá - Medellín, Km 16.34 Villeta - Guaduas, , Balu, Guaduas, Cundinamarca")</f>
        <v>Vía Bogotá - Medellín, Km 16.34 Villeta - Guaduas, , Balu, Guaduas, Cundinamarca</v>
      </c>
      <c r="G697">
        <v>37</v>
      </c>
      <c r="H697">
        <v>138296</v>
      </c>
      <c r="I697">
        <v>-74.540859999999995</v>
      </c>
      <c r="J697">
        <v>5.0179400000000003</v>
      </c>
      <c r="K697" t="s">
        <v>31</v>
      </c>
      <c r="L697" s="1">
        <v>44614</v>
      </c>
      <c r="M697" s="2" t="s">
        <v>567</v>
      </c>
      <c r="N697" t="s">
        <v>20</v>
      </c>
      <c r="O697" t="s">
        <v>21</v>
      </c>
      <c r="P697" t="s">
        <v>22</v>
      </c>
    </row>
    <row r="698" spans="1:16" x14ac:dyDescent="0.25">
      <c r="A698" t="s">
        <v>16</v>
      </c>
      <c r="B698" t="s">
        <v>17</v>
      </c>
      <c r="C698" t="s">
        <v>18</v>
      </c>
      <c r="D698" s="1">
        <v>44614</v>
      </c>
      <c r="E698" s="2" t="s">
        <v>568</v>
      </c>
      <c r="F698" s="3" t="str">
        <f>HYPERLINK("https://maps.google.com/maps?q=5.01347,-74.54169&amp;ll=5.01347,-74.54169&amp;z=14.75z","Vía Bogotá - Medellín, Km 15.75 Villeta - Guaduas, , Balu, Guaduas, Cundinamarca")</f>
        <v>Vía Bogotá - Medellín, Km 15.75 Villeta - Guaduas, , Balu, Guaduas, Cundinamarca</v>
      </c>
      <c r="G698">
        <v>38</v>
      </c>
      <c r="H698">
        <v>138297</v>
      </c>
      <c r="I698">
        <v>-74.541690000000003</v>
      </c>
      <c r="J698">
        <v>5.0134699999999999</v>
      </c>
      <c r="K698" t="s">
        <v>33</v>
      </c>
      <c r="L698" s="1">
        <v>44614</v>
      </c>
      <c r="M698" s="2" t="s">
        <v>568</v>
      </c>
      <c r="N698" t="s">
        <v>20</v>
      </c>
      <c r="O698" t="s">
        <v>21</v>
      </c>
      <c r="P698" t="s">
        <v>22</v>
      </c>
    </row>
    <row r="699" spans="1:16" x14ac:dyDescent="0.25">
      <c r="A699" t="s">
        <v>16</v>
      </c>
      <c r="B699" t="s">
        <v>17</v>
      </c>
      <c r="C699" t="s">
        <v>18</v>
      </c>
      <c r="D699" s="1">
        <v>44614</v>
      </c>
      <c r="E699" s="2" t="s">
        <v>568</v>
      </c>
      <c r="F699" s="3" t="str">
        <f>HYPERLINK("https://maps.google.com/maps?q=5.01018,-74.54143&amp;ll=5.01018,-74.54143&amp;z=14.75z","Vía Bogotá - Medellín, Km 15.17 Villeta - Guaduas, , Balu, Guaduas, Cundinamarca")</f>
        <v>Vía Bogotá - Medellín, Km 15.17 Villeta - Guaduas, , Balu, Guaduas, Cundinamarca</v>
      </c>
      <c r="G699">
        <v>35</v>
      </c>
      <c r="H699">
        <v>138297</v>
      </c>
      <c r="I699">
        <v>-74.541430000000005</v>
      </c>
      <c r="J699">
        <v>5.0101800000000001</v>
      </c>
      <c r="K699" t="s">
        <v>30</v>
      </c>
      <c r="L699" s="1">
        <v>44614</v>
      </c>
      <c r="M699" s="2" t="s">
        <v>569</v>
      </c>
      <c r="N699" t="s">
        <v>20</v>
      </c>
      <c r="O699" t="s">
        <v>21</v>
      </c>
      <c r="P699" t="s">
        <v>22</v>
      </c>
    </row>
    <row r="700" spans="1:16" x14ac:dyDescent="0.25">
      <c r="A700" t="s">
        <v>16</v>
      </c>
      <c r="B700" t="s">
        <v>17</v>
      </c>
      <c r="C700" t="s">
        <v>27</v>
      </c>
      <c r="D700" s="1">
        <v>44614</v>
      </c>
      <c r="E700" s="2" t="s">
        <v>569</v>
      </c>
      <c r="F700" s="3" t="str">
        <f>HYPERLINK("https://maps.google.com/maps?q=5.0077,-74.54074&amp;ll=5.0077,-74.54074&amp;z=14.75z","Vía Bogotá - Medellín, Km 14.85 Villeta - Guaduas, , Balu, Guaduas, Cundinamarca")</f>
        <v>Vía Bogotá - Medellín, Km 14.85 Villeta - Guaduas, , Balu, Guaduas, Cundinamarca</v>
      </c>
      <c r="G700">
        <v>35</v>
      </c>
      <c r="H700">
        <v>138298</v>
      </c>
      <c r="I700">
        <v>-74.54074</v>
      </c>
      <c r="J700">
        <v>5.0076999999999998</v>
      </c>
      <c r="K700" t="s">
        <v>31</v>
      </c>
      <c r="L700" s="1">
        <v>44614</v>
      </c>
      <c r="M700" s="2" t="s">
        <v>569</v>
      </c>
      <c r="N700" t="s">
        <v>20</v>
      </c>
      <c r="O700" t="s">
        <v>21</v>
      </c>
      <c r="P700" t="s">
        <v>22</v>
      </c>
    </row>
    <row r="701" spans="1:16" x14ac:dyDescent="0.25">
      <c r="A701" t="s">
        <v>16</v>
      </c>
      <c r="B701" t="s">
        <v>17</v>
      </c>
      <c r="C701" t="s">
        <v>18</v>
      </c>
      <c r="D701" s="1">
        <v>44614</v>
      </c>
      <c r="E701" s="2" t="s">
        <v>569</v>
      </c>
      <c r="F701" s="3" t="str">
        <f>HYPERLINK("https://maps.google.com/maps?q=5.00567,-74.54046&amp;ll=5.00567,-74.54046&amp;z=14.75z","Vía Bogotá - Medellín, Km 14.63 Villeta - Guaduas, , Alto Del Trigo, Guaduas, Cundinamarca")</f>
        <v>Vía Bogotá - Medellín, Km 14.63 Villeta - Guaduas, , Alto Del Trigo, Guaduas, Cundinamarca</v>
      </c>
      <c r="G701">
        <v>37</v>
      </c>
      <c r="H701">
        <v>138298</v>
      </c>
      <c r="I701">
        <v>-74.540459999999996</v>
      </c>
      <c r="J701">
        <v>5.0056700000000003</v>
      </c>
      <c r="K701" t="s">
        <v>33</v>
      </c>
      <c r="L701" s="1">
        <v>44614</v>
      </c>
      <c r="M701" s="2" t="s">
        <v>570</v>
      </c>
      <c r="N701" t="s">
        <v>20</v>
      </c>
      <c r="O701" t="s">
        <v>21</v>
      </c>
      <c r="P701" t="s">
        <v>22</v>
      </c>
    </row>
    <row r="702" spans="1:16" x14ac:dyDescent="0.25">
      <c r="A702" t="s">
        <v>16</v>
      </c>
      <c r="B702" t="s">
        <v>17</v>
      </c>
      <c r="C702" t="s">
        <v>18</v>
      </c>
      <c r="D702" s="1">
        <v>44614</v>
      </c>
      <c r="E702" s="2" t="s">
        <v>570</v>
      </c>
      <c r="F702" s="3" t="str">
        <f>HYPERLINK("https://maps.google.com/maps?q=5.00166,-74.53864&amp;ll=5.00166,-74.53864&amp;z=14.75z","Vía Bogotá - Medellín, Km 14.03 Villeta - Guaduas, , Alto Del Trigo, Guaduas, Cundinamarca")</f>
        <v>Vía Bogotá - Medellín, Km 14.03 Villeta - Guaduas, , Alto Del Trigo, Guaduas, Cundinamarca</v>
      </c>
      <c r="G702">
        <v>32</v>
      </c>
      <c r="H702">
        <v>138299</v>
      </c>
      <c r="I702">
        <v>-74.538640000000001</v>
      </c>
      <c r="J702">
        <v>5.0016600000000002</v>
      </c>
      <c r="K702" t="s">
        <v>33</v>
      </c>
      <c r="L702" s="1">
        <v>44614</v>
      </c>
      <c r="M702" s="2" t="s">
        <v>572</v>
      </c>
      <c r="N702" t="s">
        <v>20</v>
      </c>
      <c r="O702" t="s">
        <v>21</v>
      </c>
      <c r="P702" t="s">
        <v>22</v>
      </c>
    </row>
    <row r="703" spans="1:16" x14ac:dyDescent="0.25">
      <c r="A703" t="s">
        <v>16</v>
      </c>
      <c r="B703" t="s">
        <v>17</v>
      </c>
      <c r="C703" t="s">
        <v>27</v>
      </c>
      <c r="D703" s="1">
        <v>44614</v>
      </c>
      <c r="E703" s="2" t="s">
        <v>572</v>
      </c>
      <c r="F703" s="3" t="str">
        <f>HYPERLINK("https://maps.google.com/maps?q=5.00098,-74.538&amp;ll=5.00098,-74.538&amp;z=14.75z","Vía Bogotá - Medellín, Km 13.93 Villeta - Guaduas, , Alto Del Trigo, Villeta, Cundinamarca")</f>
        <v>Vía Bogotá - Medellín, Km 13.93 Villeta - Guaduas, , Alto Del Trigo, Villeta, Cundinamarca</v>
      </c>
      <c r="G703">
        <v>12</v>
      </c>
      <c r="H703">
        <v>138299</v>
      </c>
      <c r="I703">
        <v>-74.537999999999997</v>
      </c>
      <c r="J703">
        <v>5.0009800000000002</v>
      </c>
      <c r="K703" t="s">
        <v>31</v>
      </c>
      <c r="L703" s="1">
        <v>44614</v>
      </c>
      <c r="M703" s="2" t="s">
        <v>572</v>
      </c>
      <c r="N703" t="s">
        <v>20</v>
      </c>
      <c r="O703" t="s">
        <v>21</v>
      </c>
      <c r="P703" t="s">
        <v>22</v>
      </c>
    </row>
    <row r="704" spans="1:16" x14ac:dyDescent="0.25">
      <c r="A704" t="s">
        <v>16</v>
      </c>
      <c r="B704" t="s">
        <v>17</v>
      </c>
      <c r="C704" t="s">
        <v>18</v>
      </c>
      <c r="D704" s="1">
        <v>44614</v>
      </c>
      <c r="E704" s="2" t="s">
        <v>572</v>
      </c>
      <c r="F704" s="3" t="str">
        <f>HYPERLINK("https://maps.google.com/maps?q=4.99896,-74.53733&amp;ll=4.99896,-74.53733&amp;z=14.75z","Vía Bogotá - Medellín, Km 13.68 Villeta - Guaduas, , Alto Del Trigo, Villeta, Cundinamarca")</f>
        <v>Vía Bogotá - Medellín, Km 13.68 Villeta - Guaduas, , Alto Del Trigo, Villeta, Cundinamarca</v>
      </c>
      <c r="G704">
        <v>22</v>
      </c>
      <c r="H704">
        <v>138299</v>
      </c>
      <c r="I704">
        <v>-74.537329999999997</v>
      </c>
      <c r="J704">
        <v>4.9989600000000003</v>
      </c>
      <c r="K704" t="s">
        <v>31</v>
      </c>
      <c r="L704" s="1">
        <v>44614</v>
      </c>
      <c r="M704" s="2" t="s">
        <v>572</v>
      </c>
      <c r="N704" t="s">
        <v>20</v>
      </c>
      <c r="O704" t="s">
        <v>21</v>
      </c>
      <c r="P704" t="s">
        <v>22</v>
      </c>
    </row>
    <row r="705" spans="1:16" x14ac:dyDescent="0.25">
      <c r="A705" t="s">
        <v>16</v>
      </c>
      <c r="B705" t="s">
        <v>17</v>
      </c>
      <c r="C705" t="s">
        <v>18</v>
      </c>
      <c r="D705" s="1">
        <v>44614</v>
      </c>
      <c r="E705" s="2" t="s">
        <v>571</v>
      </c>
      <c r="F705" s="3" t="str">
        <f>HYPERLINK("https://maps.google.com/maps?q=4.99852,-74.53664&amp;ll=4.99852,-74.53664&amp;z=14.75z","Vía Bogotá - Medellín, Km 13.27 Villeta - Guaduas, , Potrero Grande, Villeta, Cundinamarca")</f>
        <v>Vía Bogotá - Medellín, Km 13.27 Villeta - Guaduas, , Potrero Grande, Villeta, Cundinamarca</v>
      </c>
      <c r="G705">
        <v>35</v>
      </c>
      <c r="H705">
        <v>138299</v>
      </c>
      <c r="I705">
        <v>-74.536640000000006</v>
      </c>
      <c r="J705">
        <v>4.9985200000000001</v>
      </c>
      <c r="K705" t="s">
        <v>23</v>
      </c>
      <c r="L705" s="1">
        <v>44614</v>
      </c>
      <c r="M705" s="2" t="s">
        <v>571</v>
      </c>
      <c r="N705" t="s">
        <v>20</v>
      </c>
      <c r="O705" t="s">
        <v>21</v>
      </c>
      <c r="P705" t="s">
        <v>22</v>
      </c>
    </row>
    <row r="706" spans="1:16" x14ac:dyDescent="0.25">
      <c r="A706" t="s">
        <v>16</v>
      </c>
      <c r="B706" t="s">
        <v>17</v>
      </c>
      <c r="C706" t="s">
        <v>18</v>
      </c>
      <c r="D706" s="1">
        <v>44614</v>
      </c>
      <c r="E706" s="2" t="s">
        <v>573</v>
      </c>
      <c r="F706" s="3" t="str">
        <f>HYPERLINK("https://maps.google.com/maps?q=5.00207,-74.53622&amp;ll=5.00207,-74.53622&amp;z=14.75z","Vía Bogotá - Medellín, Km 12.88 Villeta - Guaduas, , Chorrillo, Villeta, Cundinamarca")</f>
        <v>Vía Bogotá - Medellín, Km 12.88 Villeta - Guaduas, , Chorrillo, Villeta, Cundinamarca</v>
      </c>
      <c r="G706">
        <v>21</v>
      </c>
      <c r="H706">
        <v>138300</v>
      </c>
      <c r="I706">
        <v>-74.53622</v>
      </c>
      <c r="J706">
        <v>5.0020699999999998</v>
      </c>
      <c r="K706" t="s">
        <v>24</v>
      </c>
      <c r="L706" s="1">
        <v>44614</v>
      </c>
      <c r="M706" s="2" t="s">
        <v>573</v>
      </c>
      <c r="N706" t="s">
        <v>20</v>
      </c>
      <c r="O706" t="s">
        <v>21</v>
      </c>
      <c r="P706" t="s">
        <v>22</v>
      </c>
    </row>
    <row r="707" spans="1:16" x14ac:dyDescent="0.25">
      <c r="A707" t="s">
        <v>16</v>
      </c>
      <c r="B707" t="s">
        <v>17</v>
      </c>
      <c r="C707" t="s">
        <v>18</v>
      </c>
      <c r="D707" s="1">
        <v>44614</v>
      </c>
      <c r="E707" s="2" t="s">
        <v>575</v>
      </c>
      <c r="F707" s="3" t="str">
        <f>HYPERLINK("https://maps.google.com/maps?q=5.00547,-74.53553&amp;ll=5.00547,-74.53553&amp;z=14.75z","Vía Bogotá - Medellín, Km 12.33 Villeta - Guaduas, , Chorrillo, Villeta, Cundinamarca")</f>
        <v>Vía Bogotá - Medellín, Km 12.33 Villeta - Guaduas, , Chorrillo, Villeta, Cundinamarca</v>
      </c>
      <c r="G707">
        <v>27</v>
      </c>
      <c r="H707">
        <v>138300</v>
      </c>
      <c r="I707">
        <v>-74.535529999999994</v>
      </c>
      <c r="J707">
        <v>5.0054699999999999</v>
      </c>
      <c r="K707" t="s">
        <v>24</v>
      </c>
      <c r="L707" s="1">
        <v>44614</v>
      </c>
      <c r="M707" s="2" t="s">
        <v>575</v>
      </c>
      <c r="N707" t="s">
        <v>20</v>
      </c>
      <c r="O707" t="s">
        <v>21</v>
      </c>
      <c r="P707" t="s">
        <v>22</v>
      </c>
    </row>
    <row r="708" spans="1:16" x14ac:dyDescent="0.25">
      <c r="A708" t="s">
        <v>16</v>
      </c>
      <c r="B708" t="s">
        <v>17</v>
      </c>
      <c r="C708" t="s">
        <v>18</v>
      </c>
      <c r="D708" s="1">
        <v>44614</v>
      </c>
      <c r="E708" s="2" t="s">
        <v>574</v>
      </c>
      <c r="F708" s="3" t="str">
        <f>HYPERLINK("https://maps.google.com/maps?q=5.00823,-74.53344&amp;ll=5.00823,-74.53344&amp;z=14.75z","Vía Bogotá - Medellín, Km 12.06 Villeta - Guaduas, , Chorrillo, Villeta, Cundinamarca")</f>
        <v>Vía Bogotá - Medellín, Km 12.06 Villeta - Guaduas, , Chorrillo, Villeta, Cundinamarca</v>
      </c>
      <c r="G708">
        <v>16</v>
      </c>
      <c r="H708">
        <v>138301</v>
      </c>
      <c r="I708">
        <v>-74.533439999999999</v>
      </c>
      <c r="J708">
        <v>5.0082300000000002</v>
      </c>
      <c r="K708" t="s">
        <v>24</v>
      </c>
      <c r="L708" s="1">
        <v>44614</v>
      </c>
      <c r="M708" s="2" t="s">
        <v>297</v>
      </c>
      <c r="N708" t="s">
        <v>20</v>
      </c>
      <c r="O708" t="s">
        <v>21</v>
      </c>
      <c r="P708" t="s">
        <v>22</v>
      </c>
    </row>
    <row r="709" spans="1:16" x14ac:dyDescent="0.25">
      <c r="A709" t="s">
        <v>16</v>
      </c>
      <c r="B709" t="s">
        <v>17</v>
      </c>
      <c r="C709" t="s">
        <v>18</v>
      </c>
      <c r="D709" s="1">
        <v>44614</v>
      </c>
      <c r="E709" s="2" t="s">
        <v>297</v>
      </c>
      <c r="F709" s="3" t="str">
        <f>HYPERLINK("https://maps.google.com/maps?q=5.00878,-74.53028&amp;ll=5.00878,-74.53028&amp;z=14.75z","Vía Bogotá - Medellín, Km 11.69 Villeta - Guaduas, , Chorrillo, Villeta, Cundinamarca")</f>
        <v>Vía Bogotá - Medellín, Km 11.69 Villeta - Guaduas, , Chorrillo, Villeta, Cundinamarca</v>
      </c>
      <c r="G709">
        <v>25</v>
      </c>
      <c r="H709">
        <v>138301</v>
      </c>
      <c r="I709">
        <v>-74.530280000000005</v>
      </c>
      <c r="J709">
        <v>5.0087799999999998</v>
      </c>
      <c r="K709" t="s">
        <v>41</v>
      </c>
      <c r="L709" s="1">
        <v>44614</v>
      </c>
      <c r="M709" s="2" t="s">
        <v>576</v>
      </c>
      <c r="N709" t="s">
        <v>20</v>
      </c>
      <c r="O709" t="s">
        <v>21</v>
      </c>
      <c r="P709" t="s">
        <v>22</v>
      </c>
    </row>
    <row r="710" spans="1:16" x14ac:dyDescent="0.25">
      <c r="A710" t="s">
        <v>16</v>
      </c>
      <c r="B710" t="s">
        <v>17</v>
      </c>
      <c r="C710" t="s">
        <v>18</v>
      </c>
      <c r="D710" s="1">
        <v>44614</v>
      </c>
      <c r="E710" s="2" t="s">
        <v>576</v>
      </c>
      <c r="F710" s="3" t="str">
        <f>HYPERLINK("https://maps.google.com/maps?q=5.01167,-74.529&amp;ll=5.01167,-74.529&amp;z=14.75z","Vía Bogotá - Medellín, Km 11.28 Villeta - Guaduas, , Chorrillo, Villeta, Cundinamarca")</f>
        <v>Vía Bogotá - Medellín, Km 11.28 Villeta - Guaduas, , Chorrillo, Villeta, Cundinamarca</v>
      </c>
      <c r="G710">
        <v>27</v>
      </c>
      <c r="H710">
        <v>138301</v>
      </c>
      <c r="I710">
        <v>-74.528999999999996</v>
      </c>
      <c r="J710">
        <v>5.0116699999999996</v>
      </c>
      <c r="K710" t="s">
        <v>23</v>
      </c>
      <c r="L710" s="1">
        <v>44614</v>
      </c>
      <c r="M710" s="2" t="s">
        <v>576</v>
      </c>
      <c r="N710" t="s">
        <v>20</v>
      </c>
      <c r="O710" t="s">
        <v>21</v>
      </c>
      <c r="P710" t="s">
        <v>22</v>
      </c>
    </row>
    <row r="711" spans="1:16" x14ac:dyDescent="0.25">
      <c r="A711" t="s">
        <v>16</v>
      </c>
      <c r="B711" t="s">
        <v>17</v>
      </c>
      <c r="C711" t="s">
        <v>18</v>
      </c>
      <c r="D711" s="1">
        <v>44614</v>
      </c>
      <c r="E711" s="2" t="s">
        <v>577</v>
      </c>
      <c r="F711" s="3" t="str">
        <f>HYPERLINK("https://maps.google.com/maps?q=5.01405,-74.53011&amp;ll=5.01405,-74.53011&amp;z=14.75z","Vía Bogotá - Medellín, Km 10.99 Villeta - Guaduas, , Chorrillo, Villeta, Cundinamarca")</f>
        <v>Vía Bogotá - Medellín, Km 10.99 Villeta - Guaduas, , Chorrillo, Villeta, Cundinamarca</v>
      </c>
      <c r="G711">
        <v>22</v>
      </c>
      <c r="H711">
        <v>138302</v>
      </c>
      <c r="I711">
        <v>-74.530109999999993</v>
      </c>
      <c r="J711">
        <v>5.0140500000000001</v>
      </c>
      <c r="K711" t="s">
        <v>23</v>
      </c>
      <c r="L711" s="1">
        <v>44614</v>
      </c>
      <c r="M711" s="2" t="s">
        <v>577</v>
      </c>
      <c r="N711" t="s">
        <v>20</v>
      </c>
      <c r="O711" t="s">
        <v>21</v>
      </c>
      <c r="P711" t="s">
        <v>22</v>
      </c>
    </row>
    <row r="712" spans="1:16" x14ac:dyDescent="0.25">
      <c r="A712" t="s">
        <v>16</v>
      </c>
      <c r="B712" t="s">
        <v>17</v>
      </c>
      <c r="C712" t="s">
        <v>18</v>
      </c>
      <c r="D712" s="1">
        <v>44614</v>
      </c>
      <c r="E712" s="2" t="s">
        <v>326</v>
      </c>
      <c r="F712" s="3" t="str">
        <f>HYPERLINK("https://maps.google.com/maps?q=5.01561,-74.52838&amp;ll=5.01561,-74.52838&amp;z=14.75z","Vía Bogotá - Medellín, Km 10.64 Villeta - Guaduas, , Chorrillo, Villeta, Cundinamarca")</f>
        <v>Vía Bogotá - Medellín, Km 10.64 Villeta - Guaduas, , Chorrillo, Villeta, Cundinamarca</v>
      </c>
      <c r="G712">
        <v>22</v>
      </c>
      <c r="H712">
        <v>138302</v>
      </c>
      <c r="I712">
        <v>-74.528379999999999</v>
      </c>
      <c r="J712">
        <v>5.0156099999999997</v>
      </c>
      <c r="K712" t="s">
        <v>41</v>
      </c>
      <c r="L712" s="1">
        <v>44614</v>
      </c>
      <c r="M712" s="2" t="s">
        <v>326</v>
      </c>
      <c r="N712" t="s">
        <v>20</v>
      </c>
      <c r="O712" t="s">
        <v>21</v>
      </c>
      <c r="P712" t="s">
        <v>22</v>
      </c>
    </row>
    <row r="713" spans="1:16" x14ac:dyDescent="0.25">
      <c r="A713" t="s">
        <v>16</v>
      </c>
      <c r="B713" t="s">
        <v>17</v>
      </c>
      <c r="C713" t="s">
        <v>18</v>
      </c>
      <c r="D713" s="1">
        <v>44614</v>
      </c>
      <c r="E713" s="2" t="s">
        <v>327</v>
      </c>
      <c r="F713" s="3" t="str">
        <f>HYPERLINK("https://maps.google.com/maps?q=5.01813,-74.52735&amp;ll=5.01813,-74.52735&amp;z=14.75z","Vía Bogotá - Medellín, Km 10.31 Villeta - Guaduas, , Chorrillo, Villeta, Cundinamarca")</f>
        <v>Vía Bogotá - Medellín, Km 10.31 Villeta - Guaduas, , Chorrillo, Villeta, Cundinamarca</v>
      </c>
      <c r="G713">
        <v>24</v>
      </c>
      <c r="H713">
        <v>138302</v>
      </c>
      <c r="I713">
        <v>-74.527349999999998</v>
      </c>
      <c r="J713">
        <v>5.0181300000000002</v>
      </c>
      <c r="K713" t="s">
        <v>23</v>
      </c>
      <c r="L713" s="1">
        <v>44614</v>
      </c>
      <c r="M713" s="2" t="s">
        <v>327</v>
      </c>
      <c r="N713" t="s">
        <v>20</v>
      </c>
      <c r="O713" t="s">
        <v>21</v>
      </c>
      <c r="P713" t="s">
        <v>22</v>
      </c>
    </row>
    <row r="714" spans="1:16" x14ac:dyDescent="0.25">
      <c r="A714" t="s">
        <v>16</v>
      </c>
      <c r="B714" t="s">
        <v>17</v>
      </c>
      <c r="C714" t="s">
        <v>18</v>
      </c>
      <c r="D714" s="1">
        <v>44614</v>
      </c>
      <c r="E714" s="2" t="s">
        <v>578</v>
      </c>
      <c r="F714" s="3" t="str">
        <f>HYPERLINK("https://maps.google.com/maps?q=5.0212,-74.52716&amp;ll=5.0212,-74.52716&amp;z=14.75z","Autopista Medellín - Bogotá, Km 9.92 Villeta - Guaduas, , Chorrillo, Villeta, Cundinamarca")</f>
        <v>Autopista Medellín - Bogotá, Km 9.92 Villeta - Guaduas, , Chorrillo, Villeta, Cundinamarca</v>
      </c>
      <c r="G714">
        <v>25</v>
      </c>
      <c r="H714">
        <v>138303</v>
      </c>
      <c r="I714">
        <v>-74.527159999999995</v>
      </c>
      <c r="J714">
        <v>5.0212000000000003</v>
      </c>
      <c r="K714" t="s">
        <v>23</v>
      </c>
      <c r="L714" s="1">
        <v>44614</v>
      </c>
      <c r="M714" s="2" t="s">
        <v>578</v>
      </c>
      <c r="N714" t="s">
        <v>20</v>
      </c>
      <c r="O714" t="s">
        <v>21</v>
      </c>
      <c r="P714" t="s">
        <v>22</v>
      </c>
    </row>
    <row r="715" spans="1:16" x14ac:dyDescent="0.25">
      <c r="A715" t="s">
        <v>16</v>
      </c>
      <c r="B715" t="s">
        <v>17</v>
      </c>
      <c r="C715" t="s">
        <v>18</v>
      </c>
      <c r="D715" s="1">
        <v>44614</v>
      </c>
      <c r="E715" s="2" t="s">
        <v>579</v>
      </c>
      <c r="F715" s="3" t="str">
        <f>HYPERLINK("https://maps.google.com/maps?q=5.02453,-74.52898&amp;ll=5.02453,-74.52898&amp;z=14.75z","Vía Bogotá - Medellín, Km 9.46 Villeta - Guaduas, , Chorrillo, Villeta, Cundinamarca")</f>
        <v>Vía Bogotá - Medellín, Km 9.46 Villeta - Guaduas, , Chorrillo, Villeta, Cundinamarca</v>
      </c>
      <c r="G715">
        <v>25</v>
      </c>
      <c r="H715">
        <v>138303</v>
      </c>
      <c r="I715">
        <v>-74.528980000000004</v>
      </c>
      <c r="J715">
        <v>5.0245300000000004</v>
      </c>
      <c r="K715" t="s">
        <v>19</v>
      </c>
      <c r="L715" s="1">
        <v>44614</v>
      </c>
      <c r="M715" s="2" t="s">
        <v>579</v>
      </c>
      <c r="N715" t="s">
        <v>20</v>
      </c>
      <c r="O715" t="s">
        <v>21</v>
      </c>
      <c r="P715" t="s">
        <v>22</v>
      </c>
    </row>
    <row r="716" spans="1:16" x14ac:dyDescent="0.25">
      <c r="A716" t="s">
        <v>16</v>
      </c>
      <c r="B716" t="s">
        <v>17</v>
      </c>
      <c r="C716" t="s">
        <v>18</v>
      </c>
      <c r="D716" s="1">
        <v>44614</v>
      </c>
      <c r="E716" s="2" t="s">
        <v>579</v>
      </c>
      <c r="F716" s="3" t="str">
        <f>HYPERLINK("https://maps.google.com/maps?q=5.02557,-74.52887&amp;ll=5.02557,-74.52887&amp;z=14.75z","Vía Bogotá - Medellín, Km 9.16 Villeta - Guaduas, , Quebrada Honda, Villeta, Cundinamarca")</f>
        <v>Vía Bogotá - Medellín, Km 9.16 Villeta - Guaduas, , Quebrada Honda, Villeta, Cundinamarca</v>
      </c>
      <c r="G716">
        <v>25</v>
      </c>
      <c r="H716">
        <v>138303</v>
      </c>
      <c r="I716">
        <v>-74.528869999999998</v>
      </c>
      <c r="J716">
        <v>5.0255700000000001</v>
      </c>
      <c r="K716" t="s">
        <v>41</v>
      </c>
      <c r="L716" s="1">
        <v>44614</v>
      </c>
      <c r="M716" s="2" t="s">
        <v>580</v>
      </c>
      <c r="N716" t="s">
        <v>20</v>
      </c>
      <c r="O716" t="s">
        <v>21</v>
      </c>
      <c r="P716" t="s">
        <v>22</v>
      </c>
    </row>
    <row r="717" spans="1:16" x14ac:dyDescent="0.25">
      <c r="A717" t="s">
        <v>16</v>
      </c>
      <c r="B717" t="s">
        <v>17</v>
      </c>
      <c r="C717" t="s">
        <v>18</v>
      </c>
      <c r="D717" s="1">
        <v>44614</v>
      </c>
      <c r="E717" s="2" t="s">
        <v>580</v>
      </c>
      <c r="F717" s="3" t="str">
        <f>HYPERLINK("https://maps.google.com/maps?q=5.02591,-74.52668&amp;ll=5.02591,-74.52668&amp;z=14.75z","Vía Bogotá - Medellín, Km 8.75 Villeta - Guaduas, , Quebrada Honda, Villeta, Cundinamarca")</f>
        <v>Vía Bogotá - Medellín, Km 8.75 Villeta - Guaduas, , Quebrada Honda, Villeta, Cundinamarca</v>
      </c>
      <c r="G717">
        <v>24</v>
      </c>
      <c r="H717">
        <v>138304</v>
      </c>
      <c r="I717">
        <v>-74.526679999999999</v>
      </c>
      <c r="J717">
        <v>5.0259099999999997</v>
      </c>
      <c r="K717" t="s">
        <v>33</v>
      </c>
      <c r="L717" s="1">
        <v>44614</v>
      </c>
      <c r="M717" s="2" t="s">
        <v>581</v>
      </c>
      <c r="N717" t="s">
        <v>20</v>
      </c>
      <c r="O717" t="s">
        <v>21</v>
      </c>
      <c r="P717" t="s">
        <v>22</v>
      </c>
    </row>
    <row r="718" spans="1:16" x14ac:dyDescent="0.25">
      <c r="A718" t="s">
        <v>16</v>
      </c>
      <c r="B718" t="s">
        <v>17</v>
      </c>
      <c r="C718" t="s">
        <v>18</v>
      </c>
      <c r="D718" s="1">
        <v>44614</v>
      </c>
      <c r="E718" s="2" t="s">
        <v>581</v>
      </c>
      <c r="F718" s="3" t="str">
        <f>HYPERLINK("https://maps.google.com/maps?q=5.02425,-74.52429&amp;ll=5.02425,-74.52429&amp;z=14.75z","Vía Bogotá - Medellín, Km 8.37 Villeta - Guaduas, , Quebrada Honda, Villeta, Cundinamarca")</f>
        <v>Vía Bogotá - Medellín, Km 8.37 Villeta - Guaduas, , Quebrada Honda, Villeta, Cundinamarca</v>
      </c>
      <c r="G718">
        <v>27</v>
      </c>
      <c r="H718">
        <v>138304</v>
      </c>
      <c r="I718">
        <v>-74.524289999999993</v>
      </c>
      <c r="J718">
        <v>5.0242500000000003</v>
      </c>
      <c r="K718" t="s">
        <v>31</v>
      </c>
      <c r="L718" s="1">
        <v>44614</v>
      </c>
      <c r="M718" s="2" t="s">
        <v>581</v>
      </c>
      <c r="N718" t="s">
        <v>20</v>
      </c>
      <c r="O718" t="s">
        <v>21</v>
      </c>
      <c r="P718" t="s">
        <v>22</v>
      </c>
    </row>
    <row r="719" spans="1:16" x14ac:dyDescent="0.25">
      <c r="A719" t="s">
        <v>16</v>
      </c>
      <c r="B719" t="s">
        <v>17</v>
      </c>
      <c r="C719" t="s">
        <v>18</v>
      </c>
      <c r="D719" s="1">
        <v>44614</v>
      </c>
      <c r="E719" s="2" t="s">
        <v>582</v>
      </c>
      <c r="F719" s="3" t="str">
        <f>HYPERLINK("https://maps.google.com/maps?q=5.02271,-74.5221&amp;ll=5.02271,-74.5221&amp;z=14.75z","Vía Bogotá - Medellín, Km 8.01 Villeta - Guaduas, , Quebrada Honda, Villeta, Cundinamarca")</f>
        <v>Vía Bogotá - Medellín, Km 8.01 Villeta - Guaduas, , Quebrada Honda, Villeta, Cundinamarca</v>
      </c>
      <c r="G719">
        <v>22</v>
      </c>
      <c r="H719">
        <v>138304</v>
      </c>
      <c r="I719">
        <v>-74.522099999999995</v>
      </c>
      <c r="J719">
        <v>5.02271</v>
      </c>
      <c r="K719" t="s">
        <v>31</v>
      </c>
      <c r="L719" s="1">
        <v>44614</v>
      </c>
      <c r="M719" s="2" t="s">
        <v>582</v>
      </c>
      <c r="N719" t="s">
        <v>20</v>
      </c>
      <c r="O719" t="s">
        <v>21</v>
      </c>
      <c r="P719" t="s">
        <v>22</v>
      </c>
    </row>
    <row r="720" spans="1:16" x14ac:dyDescent="0.25">
      <c r="A720" t="s">
        <v>16</v>
      </c>
      <c r="B720" t="s">
        <v>17</v>
      </c>
      <c r="C720" t="s">
        <v>18</v>
      </c>
      <c r="D720" s="1">
        <v>44614</v>
      </c>
      <c r="E720" s="2" t="s">
        <v>583</v>
      </c>
      <c r="F720" s="3" t="str">
        <f>HYPERLINK("https://maps.google.com/maps?q=5.02037,-74.52026&amp;ll=5.02037,-74.52026&amp;z=14.75z","Vía Bogotá - Medellín, Km 7.63 Villeta - Guaduas, , Quebrada Honda, Villeta, Cundinamarca")</f>
        <v>Vía Bogotá - Medellín, Km 7.63 Villeta - Guaduas, , Quebrada Honda, Villeta, Cundinamarca</v>
      </c>
      <c r="G720">
        <v>14</v>
      </c>
      <c r="H720">
        <v>138305</v>
      </c>
      <c r="I720">
        <v>-74.520259999999993</v>
      </c>
      <c r="J720">
        <v>5.0203699999999998</v>
      </c>
      <c r="K720" t="s">
        <v>33</v>
      </c>
      <c r="L720" s="1">
        <v>44614</v>
      </c>
      <c r="M720" s="2" t="s">
        <v>583</v>
      </c>
      <c r="N720" t="s">
        <v>20</v>
      </c>
      <c r="O720" t="s">
        <v>21</v>
      </c>
      <c r="P720" t="s">
        <v>22</v>
      </c>
    </row>
    <row r="721" spans="1:16" x14ac:dyDescent="0.25">
      <c r="A721" t="s">
        <v>16</v>
      </c>
      <c r="B721" t="s">
        <v>17</v>
      </c>
      <c r="C721" t="s">
        <v>18</v>
      </c>
      <c r="D721" s="1">
        <v>44614</v>
      </c>
      <c r="E721" s="2" t="s">
        <v>584</v>
      </c>
      <c r="F721" s="3" t="str">
        <f>HYPERLINK("https://maps.google.com/maps?q=5.01787,-74.51832&amp;ll=5.01787,-74.51832&amp;z=14.75z","Vía Bogotá - Medellín, Km 7.21 Villeta - Guaduas, , Quebrada Honda, Villeta, Cundinamarca")</f>
        <v>Vía Bogotá - Medellín, Km 7.21 Villeta - Guaduas, , Quebrada Honda, Villeta, Cundinamarca</v>
      </c>
      <c r="G721">
        <v>27</v>
      </c>
      <c r="H721">
        <v>138305</v>
      </c>
      <c r="I721">
        <v>-74.518320000000003</v>
      </c>
      <c r="J721">
        <v>5.0178700000000003</v>
      </c>
      <c r="K721" t="s">
        <v>33</v>
      </c>
      <c r="L721" s="1">
        <v>44614</v>
      </c>
      <c r="M721" s="2" t="s">
        <v>584</v>
      </c>
      <c r="N721" t="s">
        <v>20</v>
      </c>
      <c r="O721" t="s">
        <v>21</v>
      </c>
      <c r="P721" t="s">
        <v>22</v>
      </c>
    </row>
    <row r="722" spans="1:16" x14ac:dyDescent="0.25">
      <c r="A722" t="s">
        <v>16</v>
      </c>
      <c r="B722" t="s">
        <v>17</v>
      </c>
      <c r="C722" t="s">
        <v>18</v>
      </c>
      <c r="D722" s="1">
        <v>44614</v>
      </c>
      <c r="E722" s="2" t="s">
        <v>585</v>
      </c>
      <c r="F722" s="3" t="str">
        <f>HYPERLINK("https://maps.google.com/maps?q=5.0197,-74.51706&amp;ll=5.0197,-74.51706&amp;z=14.75z","Vía Bogotá - Medellín, Km 6.85 Villeta - Guaduas, , Quebrada Honda, Villeta, Cundinamarca")</f>
        <v>Vía Bogotá - Medellín, Km 6.85 Villeta - Guaduas, , Quebrada Honda, Villeta, Cundinamarca</v>
      </c>
      <c r="G722">
        <v>21</v>
      </c>
      <c r="H722">
        <v>138305</v>
      </c>
      <c r="I722">
        <v>-74.517060000000001</v>
      </c>
      <c r="J722">
        <v>5.0197000000000003</v>
      </c>
      <c r="K722" t="s">
        <v>24</v>
      </c>
      <c r="L722" s="1">
        <v>44614</v>
      </c>
      <c r="M722" s="2" t="s">
        <v>585</v>
      </c>
      <c r="N722" t="s">
        <v>20</v>
      </c>
      <c r="O722" t="s">
        <v>21</v>
      </c>
      <c r="P722" t="s">
        <v>22</v>
      </c>
    </row>
    <row r="723" spans="1:16" x14ac:dyDescent="0.25">
      <c r="A723" t="s">
        <v>16</v>
      </c>
      <c r="B723" t="s">
        <v>17</v>
      </c>
      <c r="C723" t="s">
        <v>18</v>
      </c>
      <c r="D723" s="1">
        <v>44614</v>
      </c>
      <c r="E723" s="2" t="s">
        <v>586</v>
      </c>
      <c r="F723" s="3" t="str">
        <f>HYPERLINK("https://maps.google.com/maps?q=5.0209,-74.51391&amp;ll=5.0209,-74.51391&amp;z=14.75z","Vía Bogotá - Medellín, Km 6.47 Villeta - Guaduas, , La Masata, Villeta, Cundinamarca")</f>
        <v>Vía Bogotá - Medellín, Km 6.47 Villeta - Guaduas, , La Masata, Villeta, Cundinamarca</v>
      </c>
      <c r="G723">
        <v>23</v>
      </c>
      <c r="H723">
        <v>138306</v>
      </c>
      <c r="I723">
        <v>-74.513909999999996</v>
      </c>
      <c r="J723">
        <v>5.0209000000000001</v>
      </c>
      <c r="K723" t="s">
        <v>24</v>
      </c>
      <c r="L723" s="1">
        <v>44614</v>
      </c>
      <c r="M723" s="2" t="s">
        <v>587</v>
      </c>
      <c r="N723" t="s">
        <v>20</v>
      </c>
      <c r="O723" t="s">
        <v>21</v>
      </c>
      <c r="P723" t="s">
        <v>22</v>
      </c>
    </row>
    <row r="724" spans="1:16" x14ac:dyDescent="0.25">
      <c r="A724" t="s">
        <v>16</v>
      </c>
      <c r="B724" t="s">
        <v>17</v>
      </c>
      <c r="C724" t="s">
        <v>27</v>
      </c>
      <c r="D724" s="1">
        <v>44614</v>
      </c>
      <c r="E724" s="2" t="s">
        <v>586</v>
      </c>
      <c r="F724" s="3" t="str">
        <f>HYPERLINK("https://maps.google.com/maps?q=5.02151,-74.51294&amp;ll=5.02151,-74.51294&amp;z=14.75z","Vía Bogotá - Medellín, Km 6.32 Villeta - Guaduas, , La Masata, Villeta, Cundinamarca")</f>
        <v>Vía Bogotá - Medellín, Km 6.32 Villeta - Guaduas, , La Masata, Villeta, Cundinamarca</v>
      </c>
      <c r="G724">
        <v>21</v>
      </c>
      <c r="H724">
        <v>138306</v>
      </c>
      <c r="I724">
        <v>-74.51294</v>
      </c>
      <c r="J724">
        <v>5.0215100000000001</v>
      </c>
      <c r="K724" t="s">
        <v>24</v>
      </c>
      <c r="L724" s="1">
        <v>44614</v>
      </c>
      <c r="M724" s="2" t="s">
        <v>587</v>
      </c>
      <c r="N724" t="s">
        <v>20</v>
      </c>
      <c r="O724" t="s">
        <v>21</v>
      </c>
      <c r="P724" t="s">
        <v>22</v>
      </c>
    </row>
    <row r="725" spans="1:16" x14ac:dyDescent="0.25">
      <c r="A725" t="s">
        <v>16</v>
      </c>
      <c r="B725" t="s">
        <v>17</v>
      </c>
      <c r="C725" t="s">
        <v>18</v>
      </c>
      <c r="D725" s="1">
        <v>44614</v>
      </c>
      <c r="E725" s="2" t="s">
        <v>587</v>
      </c>
      <c r="F725" s="3" t="str">
        <f>HYPERLINK("https://maps.google.com/maps?q=5.02322,-74.51187&amp;ll=5.02322,-74.51187&amp;z=14.75z","Vía Bogotá - Medellín, Km 6.09 Villeta - Guaduas, , Quebrada Honda, Villeta, Cundinamarca")</f>
        <v>Vía Bogotá - Medellín, Km 6.09 Villeta - Guaduas, , Quebrada Honda, Villeta, Cundinamarca</v>
      </c>
      <c r="G725">
        <v>22</v>
      </c>
      <c r="H725">
        <v>138306</v>
      </c>
      <c r="I725">
        <v>-74.511870000000002</v>
      </c>
      <c r="J725">
        <v>5.0232200000000002</v>
      </c>
      <c r="K725" t="s">
        <v>41</v>
      </c>
      <c r="L725" s="1">
        <v>44614</v>
      </c>
      <c r="M725" s="2" t="s">
        <v>587</v>
      </c>
      <c r="N725" t="s">
        <v>20</v>
      </c>
      <c r="O725" t="s">
        <v>21</v>
      </c>
      <c r="P725" t="s">
        <v>22</v>
      </c>
    </row>
    <row r="726" spans="1:16" x14ac:dyDescent="0.25">
      <c r="A726" t="s">
        <v>16</v>
      </c>
      <c r="B726" t="s">
        <v>17</v>
      </c>
      <c r="C726" t="s">
        <v>27</v>
      </c>
      <c r="D726" s="1">
        <v>44614</v>
      </c>
      <c r="E726" s="2" t="s">
        <v>587</v>
      </c>
      <c r="F726" s="3" t="str">
        <f>HYPERLINK("https://maps.google.com/maps?q=5.02296,-74.51128&amp;ll=5.02296,-74.51128&amp;z=14.75z","Vía Bogotá - Medellín, Km 6.01 Villeta - Guaduas, , La Masata, Villeta, Cundinamarca")</f>
        <v>Vía Bogotá - Medellín, Km 6.01 Villeta - Guaduas, , La Masata, Villeta, Cundinamarca</v>
      </c>
      <c r="G726">
        <v>26</v>
      </c>
      <c r="H726">
        <v>138306</v>
      </c>
      <c r="I726">
        <v>-74.511279999999999</v>
      </c>
      <c r="J726">
        <v>5.0229600000000003</v>
      </c>
      <c r="K726" t="s">
        <v>33</v>
      </c>
      <c r="L726" s="1">
        <v>44614</v>
      </c>
      <c r="M726" s="2" t="s">
        <v>587</v>
      </c>
      <c r="N726" t="s">
        <v>20</v>
      </c>
      <c r="O726" t="s">
        <v>21</v>
      </c>
      <c r="P726" t="s">
        <v>22</v>
      </c>
    </row>
    <row r="727" spans="1:16" x14ac:dyDescent="0.25">
      <c r="A727" t="s">
        <v>16</v>
      </c>
      <c r="B727" t="s">
        <v>17</v>
      </c>
      <c r="C727" t="s">
        <v>18</v>
      </c>
      <c r="D727" s="1">
        <v>44614</v>
      </c>
      <c r="E727" s="2" t="s">
        <v>588</v>
      </c>
      <c r="F727" s="3" t="str">
        <f>HYPERLINK("https://maps.google.com/maps?q=5.02461,-74.50958&amp;ll=5.02461,-74.50958&amp;z=14.75z","Vía Bogotá - Medellín, Km 5.68 Villeta - Guaduas, , La Masata, Villeta, Cundinamarca")</f>
        <v>Vía Bogotá - Medellín, Km 5.68 Villeta - Guaduas, , La Masata, Villeta, Cundinamarca</v>
      </c>
      <c r="G727">
        <v>27</v>
      </c>
      <c r="H727">
        <v>138307</v>
      </c>
      <c r="I727">
        <v>-74.50958</v>
      </c>
      <c r="J727">
        <v>5.02461</v>
      </c>
      <c r="K727" t="s">
        <v>24</v>
      </c>
      <c r="L727" s="1">
        <v>44614</v>
      </c>
      <c r="M727" s="2" t="s">
        <v>588</v>
      </c>
      <c r="N727" t="s">
        <v>20</v>
      </c>
      <c r="O727" t="s">
        <v>21</v>
      </c>
      <c r="P727" t="s">
        <v>22</v>
      </c>
    </row>
    <row r="728" spans="1:16" x14ac:dyDescent="0.25">
      <c r="A728" t="s">
        <v>16</v>
      </c>
      <c r="B728" t="s">
        <v>17</v>
      </c>
      <c r="C728" t="s">
        <v>18</v>
      </c>
      <c r="D728" s="1">
        <v>44614</v>
      </c>
      <c r="E728" s="2" t="s">
        <v>589</v>
      </c>
      <c r="F728" s="3" t="str">
        <f>HYPERLINK("https://maps.google.com/maps?q=5.02722,-74.5103&amp;ll=5.02722,-74.5103&amp;z=14.75z","Vía Bogotá - Medellín, Km 5.36 Villeta - Guaduas, , La Masata, Villeta, Cundinamarca")</f>
        <v>Vía Bogotá - Medellín, Km 5.36 Villeta - Guaduas, , La Masata, Villeta, Cundinamarca</v>
      </c>
      <c r="G728">
        <v>17</v>
      </c>
      <c r="H728">
        <v>138307</v>
      </c>
      <c r="I728">
        <v>-74.510300000000001</v>
      </c>
      <c r="J728">
        <v>5.0272199999999998</v>
      </c>
      <c r="K728" t="s">
        <v>23</v>
      </c>
      <c r="L728" s="1">
        <v>44614</v>
      </c>
      <c r="M728" s="2" t="s">
        <v>589</v>
      </c>
      <c r="N728" t="s">
        <v>20</v>
      </c>
      <c r="O728" t="s">
        <v>21</v>
      </c>
      <c r="P728" t="s">
        <v>22</v>
      </c>
    </row>
    <row r="729" spans="1:16" x14ac:dyDescent="0.25">
      <c r="A729" t="s">
        <v>16</v>
      </c>
      <c r="B729" t="s">
        <v>17</v>
      </c>
      <c r="C729" t="s">
        <v>18</v>
      </c>
      <c r="D729" s="1">
        <v>44614</v>
      </c>
      <c r="E729" s="2" t="s">
        <v>590</v>
      </c>
      <c r="F729" s="3" t="str">
        <f>HYPERLINK("https://maps.google.com/maps?q=5.02839,-74.50758&amp;ll=5.02839,-74.50758&amp;z=14.75z","Vía Bogotá - Medellín, Km 4.91 Villeta - Guaduas, , La Masata, Villeta, Cundinamarca")</f>
        <v>Vía Bogotá - Medellín, Km 4.91 Villeta - Guaduas, , La Masata, Villeta, Cundinamarca</v>
      </c>
      <c r="G729">
        <v>23</v>
      </c>
      <c r="H729">
        <v>138307</v>
      </c>
      <c r="I729">
        <v>-74.507580000000004</v>
      </c>
      <c r="J729">
        <v>5.0283899999999999</v>
      </c>
      <c r="K729" t="s">
        <v>23</v>
      </c>
      <c r="L729" s="1">
        <v>44614</v>
      </c>
      <c r="M729" s="2" t="s">
        <v>590</v>
      </c>
      <c r="N729" t="s">
        <v>20</v>
      </c>
      <c r="O729" t="s">
        <v>21</v>
      </c>
      <c r="P729" t="s">
        <v>22</v>
      </c>
    </row>
    <row r="730" spans="1:16" x14ac:dyDescent="0.25">
      <c r="A730" t="s">
        <v>16</v>
      </c>
      <c r="B730" t="s">
        <v>17</v>
      </c>
      <c r="C730" t="s">
        <v>18</v>
      </c>
      <c r="D730" s="1">
        <v>44614</v>
      </c>
      <c r="E730" s="2" t="s">
        <v>591</v>
      </c>
      <c r="F730" s="3" t="str">
        <f>HYPERLINK("https://maps.google.com/maps?q=5.02743,-74.50654&amp;ll=5.02743,-74.50654&amp;z=14.75z","Vía Bogotá - Medellín, Km 4.58 Villeta - Guaduas, , La Masata, Villeta, Cundinamarca")</f>
        <v>Vía Bogotá - Medellín, Km 4.58 Villeta - Guaduas, , La Masata, Villeta, Cundinamarca</v>
      </c>
      <c r="G730">
        <v>29</v>
      </c>
      <c r="H730">
        <v>138308</v>
      </c>
      <c r="I730">
        <v>-74.506540000000001</v>
      </c>
      <c r="J730">
        <v>5.0274299999999998</v>
      </c>
      <c r="K730" t="s">
        <v>30</v>
      </c>
      <c r="L730" s="1">
        <v>44614</v>
      </c>
      <c r="M730" s="2" t="s">
        <v>592</v>
      </c>
      <c r="N730" t="s">
        <v>20</v>
      </c>
      <c r="O730" t="s">
        <v>21</v>
      </c>
      <c r="P730" t="s">
        <v>22</v>
      </c>
    </row>
    <row r="731" spans="1:16" x14ac:dyDescent="0.25">
      <c r="A731" t="s">
        <v>16</v>
      </c>
      <c r="B731" t="s">
        <v>17</v>
      </c>
      <c r="C731" t="s">
        <v>18</v>
      </c>
      <c r="D731" s="1">
        <v>44614</v>
      </c>
      <c r="E731" s="2" t="s">
        <v>592</v>
      </c>
      <c r="F731" s="3" t="str">
        <f>HYPERLINK("https://maps.google.com/maps?q=5.02613,-74.50628&amp;ll=5.02613,-74.50628&amp;z=14.75z","Vía Bogotá - Medellín, Km 4.22 Villeta - Guaduas, , La Masata, Villeta, Cundinamarca")</f>
        <v>Vía Bogotá - Medellín, Km 4.22 Villeta - Guaduas, , La Masata, Villeta, Cundinamarca</v>
      </c>
      <c r="G731">
        <v>25</v>
      </c>
      <c r="H731">
        <v>138308</v>
      </c>
      <c r="I731">
        <v>-74.506280000000004</v>
      </c>
      <c r="J731">
        <v>5.0261300000000002</v>
      </c>
      <c r="K731" t="s">
        <v>41</v>
      </c>
      <c r="L731" s="1">
        <v>44614</v>
      </c>
      <c r="M731" s="2" t="s">
        <v>592</v>
      </c>
      <c r="N731" t="s">
        <v>20</v>
      </c>
      <c r="O731" t="s">
        <v>21</v>
      </c>
      <c r="P731" t="s">
        <v>22</v>
      </c>
    </row>
    <row r="732" spans="1:16" x14ac:dyDescent="0.25">
      <c r="A732" t="s">
        <v>16</v>
      </c>
      <c r="B732" t="s">
        <v>17</v>
      </c>
      <c r="C732" t="s">
        <v>18</v>
      </c>
      <c r="D732" s="1">
        <v>44614</v>
      </c>
      <c r="E732" s="2" t="s">
        <v>593</v>
      </c>
      <c r="F732" s="3" t="str">
        <f>HYPERLINK("https://maps.google.com/maps?q=5.02676,-74.50303&amp;ll=5.02676,-74.50303&amp;z=14.75z","Vía Bogotá - Medellín, Km 3.83 Villeta - Guaduas, , La Masata, Villeta, Cundinamarca")</f>
        <v>Vía Bogotá - Medellín, Km 3.83 Villeta - Guaduas, , La Masata, Villeta, Cundinamarca</v>
      </c>
      <c r="G732">
        <v>22</v>
      </c>
      <c r="H732">
        <v>138308</v>
      </c>
      <c r="I732">
        <v>-74.503029999999995</v>
      </c>
      <c r="J732">
        <v>5.0267600000000003</v>
      </c>
      <c r="K732" t="s">
        <v>41</v>
      </c>
      <c r="L732" s="1">
        <v>44614</v>
      </c>
      <c r="M732" s="2" t="s">
        <v>593</v>
      </c>
      <c r="N732" t="s">
        <v>20</v>
      </c>
      <c r="O732" t="s">
        <v>21</v>
      </c>
      <c r="P732" t="s">
        <v>22</v>
      </c>
    </row>
    <row r="733" spans="1:16" x14ac:dyDescent="0.25">
      <c r="A733" t="s">
        <v>16</v>
      </c>
      <c r="B733" t="s">
        <v>17</v>
      </c>
      <c r="C733" t="s">
        <v>18</v>
      </c>
      <c r="D733" s="1">
        <v>44614</v>
      </c>
      <c r="E733" s="2" t="s">
        <v>593</v>
      </c>
      <c r="F733" s="3" t="str">
        <f>HYPERLINK("https://maps.google.com/maps?q=5.02632,-74.50088&amp;ll=5.02632,-74.50088&amp;z=14.75z","Vía Bogotá - Medellín, Km 3.38 Villeta - Guaduas, , La Masata, Villeta, Cundinamarca")</f>
        <v>Vía Bogotá - Medellín, Km 3.38 Villeta - Guaduas, , La Masata, Villeta, Cundinamarca</v>
      </c>
      <c r="G733">
        <v>26</v>
      </c>
      <c r="H733">
        <v>138309</v>
      </c>
      <c r="I733">
        <v>-74.500879999999995</v>
      </c>
      <c r="J733">
        <v>5.0263200000000001</v>
      </c>
      <c r="K733" t="s">
        <v>24</v>
      </c>
      <c r="L733" s="1">
        <v>44614</v>
      </c>
      <c r="M733" s="2" t="s">
        <v>594</v>
      </c>
      <c r="N733" t="s">
        <v>20</v>
      </c>
      <c r="O733" t="s">
        <v>21</v>
      </c>
      <c r="P733" t="s">
        <v>22</v>
      </c>
    </row>
    <row r="734" spans="1:16" x14ac:dyDescent="0.25">
      <c r="A734" t="s">
        <v>16</v>
      </c>
      <c r="B734" t="s">
        <v>17</v>
      </c>
      <c r="C734" t="s">
        <v>18</v>
      </c>
      <c r="D734" s="1">
        <v>44614</v>
      </c>
      <c r="E734" s="2" t="s">
        <v>594</v>
      </c>
      <c r="F734" s="3" t="str">
        <f>HYPERLINK("https://maps.google.com/maps?q=5.02617,-74.49765&amp;ll=5.02617,-74.49765&amp;z=14.75z","Vía Bogotá - Medellín, Km 2.87 Villeta - Guaduas, , La Masata, Villeta, Cundinamarca")</f>
        <v>Vía Bogotá - Medellín, Km 2.87 Villeta - Guaduas, , La Masata, Villeta, Cundinamarca</v>
      </c>
      <c r="G734">
        <v>30</v>
      </c>
      <c r="H734">
        <v>138309</v>
      </c>
      <c r="I734">
        <v>-74.497649999999993</v>
      </c>
      <c r="J734">
        <v>5.0261699999999996</v>
      </c>
      <c r="K734" t="s">
        <v>33</v>
      </c>
      <c r="L734" s="1">
        <v>44614</v>
      </c>
      <c r="M734" s="2" t="s">
        <v>595</v>
      </c>
      <c r="N734" t="s">
        <v>20</v>
      </c>
      <c r="O734" t="s">
        <v>21</v>
      </c>
      <c r="P734" t="s">
        <v>22</v>
      </c>
    </row>
    <row r="735" spans="1:16" x14ac:dyDescent="0.25">
      <c r="A735" t="s">
        <v>16</v>
      </c>
      <c r="B735" t="s">
        <v>17</v>
      </c>
      <c r="C735" t="s">
        <v>18</v>
      </c>
      <c r="D735" s="1">
        <v>44614</v>
      </c>
      <c r="E735" s="2" t="s">
        <v>595</v>
      </c>
      <c r="F735" s="3" t="str">
        <f>HYPERLINK("https://maps.google.com/maps?q=5.0252,-74.4935&amp;ll=5.0252,-74.4935&amp;z=14.75z","Vía Bogotá - Medellín, Km 2.43 Villeta - Guaduas, , La Masata, Villeta, Cundinamarca")</f>
        <v>Vía Bogotá - Medellín, Km 2.43 Villeta - Guaduas, , La Masata, Villeta, Cundinamarca</v>
      </c>
      <c r="G735">
        <v>32</v>
      </c>
      <c r="H735">
        <v>138310</v>
      </c>
      <c r="I735">
        <v>-74.493499999999997</v>
      </c>
      <c r="J735">
        <v>5.0251999999999999</v>
      </c>
      <c r="K735" t="s">
        <v>41</v>
      </c>
      <c r="L735" s="1">
        <v>44614</v>
      </c>
      <c r="M735" s="2" t="s">
        <v>595</v>
      </c>
      <c r="N735" t="s">
        <v>20</v>
      </c>
      <c r="O735" t="s">
        <v>21</v>
      </c>
      <c r="P735" t="s">
        <v>22</v>
      </c>
    </row>
    <row r="736" spans="1:16" x14ac:dyDescent="0.25">
      <c r="A736" t="s">
        <v>16</v>
      </c>
      <c r="B736" t="s">
        <v>17</v>
      </c>
      <c r="C736" t="s">
        <v>18</v>
      </c>
      <c r="D736" s="1">
        <v>44614</v>
      </c>
      <c r="E736" s="2" t="s">
        <v>596</v>
      </c>
      <c r="F736" s="3" t="str">
        <f>HYPERLINK("https://maps.google.com/maps?q=5.0244,-74.4897&amp;ll=5.0244,-74.4897&amp;z=14.75z","Vía Bogotá - Medellín, Km 1.95 Villeta - Guaduas, , La Masata, Villeta, Cundinamarca")</f>
        <v>Vía Bogotá - Medellín, Km 1.95 Villeta - Guaduas, , La Masata, Villeta, Cundinamarca</v>
      </c>
      <c r="G736">
        <v>22</v>
      </c>
      <c r="H736">
        <v>138310</v>
      </c>
      <c r="I736">
        <v>-74.489699999999999</v>
      </c>
      <c r="J736">
        <v>5.0244</v>
      </c>
      <c r="K736" t="s">
        <v>24</v>
      </c>
      <c r="L736" s="1">
        <v>44614</v>
      </c>
      <c r="M736" s="2" t="s">
        <v>596</v>
      </c>
      <c r="N736" t="s">
        <v>20</v>
      </c>
      <c r="O736" t="s">
        <v>21</v>
      </c>
      <c r="P736" t="s">
        <v>22</v>
      </c>
    </row>
    <row r="737" spans="1:16" x14ac:dyDescent="0.25">
      <c r="A737" t="s">
        <v>16</v>
      </c>
      <c r="B737" t="s">
        <v>17</v>
      </c>
      <c r="C737" t="s">
        <v>18</v>
      </c>
      <c r="D737" s="1">
        <v>44614</v>
      </c>
      <c r="E737" s="2" t="s">
        <v>598</v>
      </c>
      <c r="F737" s="3" t="str">
        <f>HYPERLINK("https://maps.google.com/maps?q=5.02314,-74.48715&amp;ll=5.02314,-74.48715&amp;z=14.75z","Vía Bogotá - Medellín, Km 1.56 Villeta - Guaduas, , La Masata, Villeta, Cundinamarca")</f>
        <v>Vía Bogotá - Medellín, Km 1.56 Villeta - Guaduas, , La Masata, Villeta, Cundinamarca</v>
      </c>
      <c r="G737">
        <v>28</v>
      </c>
      <c r="H737">
        <v>138311</v>
      </c>
      <c r="I737">
        <v>-74.48715</v>
      </c>
      <c r="J737">
        <v>5.0231399999999997</v>
      </c>
      <c r="K737" t="s">
        <v>31</v>
      </c>
      <c r="L737" s="1">
        <v>44614</v>
      </c>
      <c r="M737" s="2" t="s">
        <v>598</v>
      </c>
      <c r="N737" t="s">
        <v>20</v>
      </c>
      <c r="O737" t="s">
        <v>21</v>
      </c>
      <c r="P737" t="s">
        <v>22</v>
      </c>
    </row>
    <row r="738" spans="1:16" x14ac:dyDescent="0.25">
      <c r="A738" t="s">
        <v>16</v>
      </c>
      <c r="B738" t="s">
        <v>17</v>
      </c>
      <c r="C738" t="s">
        <v>18</v>
      </c>
      <c r="D738" s="1">
        <v>44614</v>
      </c>
      <c r="E738" s="2" t="s">
        <v>599</v>
      </c>
      <c r="F738" s="3" t="str">
        <f>HYPERLINK("https://maps.google.com/maps?q=5.02086,-74.48462&amp;ll=5.02086,-74.48462&amp;z=14.75z","Vía Bogotá - Medellín, Km 1.17 Villeta - Guaduas, , La Masata, Villeta, Cundinamarca")</f>
        <v>Vía Bogotá - Medellín, Km 1.17 Villeta - Guaduas, , La Masata, Villeta, Cundinamarca</v>
      </c>
      <c r="G738">
        <v>25</v>
      </c>
      <c r="H738">
        <v>138311</v>
      </c>
      <c r="I738">
        <v>-74.484620000000007</v>
      </c>
      <c r="J738">
        <v>5.0208599999999999</v>
      </c>
      <c r="K738" t="s">
        <v>33</v>
      </c>
      <c r="L738" s="1">
        <v>44614</v>
      </c>
      <c r="M738" s="2" t="s">
        <v>599</v>
      </c>
      <c r="N738" t="s">
        <v>20</v>
      </c>
      <c r="O738" t="s">
        <v>21</v>
      </c>
      <c r="P738" t="s">
        <v>22</v>
      </c>
    </row>
    <row r="739" spans="1:16" x14ac:dyDescent="0.25">
      <c r="A739" t="s">
        <v>16</v>
      </c>
      <c r="B739" t="s">
        <v>17</v>
      </c>
      <c r="C739" t="s">
        <v>18</v>
      </c>
      <c r="D739" s="1">
        <v>44614</v>
      </c>
      <c r="E739" s="2" t="s">
        <v>843</v>
      </c>
      <c r="F739" s="3" t="str">
        <f>HYPERLINK("https://maps.google.com/maps?q=5.01748,-74.48344&amp;ll=5.01748,-74.48344&amp;z=14.75z","Vía Bogotá - Medellín, Km 0.75 Villeta - Guaduas, , La Masata, Villeta, Cundinamarca")</f>
        <v>Vía Bogotá - Medellín, Km 0.75 Villeta - Guaduas, , La Masata, Villeta, Cundinamarca</v>
      </c>
      <c r="G739">
        <v>26</v>
      </c>
      <c r="H739">
        <v>138311</v>
      </c>
      <c r="I739">
        <v>-74.483440000000002</v>
      </c>
      <c r="J739">
        <v>5.0174799999999999</v>
      </c>
      <c r="K739" t="s">
        <v>31</v>
      </c>
      <c r="L739" s="1">
        <v>44614</v>
      </c>
      <c r="M739" s="2" t="s">
        <v>843</v>
      </c>
      <c r="N739" t="s">
        <v>20</v>
      </c>
      <c r="O739" t="s">
        <v>21</v>
      </c>
      <c r="P739" t="s">
        <v>22</v>
      </c>
    </row>
    <row r="740" spans="1:16" x14ac:dyDescent="0.25">
      <c r="A740" t="s">
        <v>16</v>
      </c>
      <c r="B740" t="s">
        <v>17</v>
      </c>
      <c r="C740" t="s">
        <v>18</v>
      </c>
      <c r="D740" s="1">
        <v>44614</v>
      </c>
      <c r="E740" s="2" t="s">
        <v>597</v>
      </c>
      <c r="F740" s="3" t="str">
        <f>HYPERLINK("https://maps.google.com/maps?q=5.01403,-74.48376&amp;ll=5.01403,-74.48376&amp;z=14.75z","Vía Bogotá - Medellín, Km 0.36 Villeta - Guaduas, , La Masata, Villeta, Cundinamarca")</f>
        <v>Vía Bogotá - Medellín, Km 0.36 Villeta - Guaduas, , La Masata, Villeta, Cundinamarca</v>
      </c>
      <c r="G740">
        <v>24</v>
      </c>
      <c r="H740">
        <v>138312</v>
      </c>
      <c r="I740">
        <v>-74.483760000000004</v>
      </c>
      <c r="J740">
        <v>5.01403</v>
      </c>
      <c r="K740" t="s">
        <v>31</v>
      </c>
      <c r="L740" s="1">
        <v>44614</v>
      </c>
      <c r="M740" s="2" t="s">
        <v>600</v>
      </c>
      <c r="N740" t="s">
        <v>20</v>
      </c>
      <c r="O740" t="s">
        <v>21</v>
      </c>
      <c r="P740" t="s">
        <v>22</v>
      </c>
    </row>
    <row r="741" spans="1:16" x14ac:dyDescent="0.25">
      <c r="A741" t="s">
        <v>16</v>
      </c>
      <c r="B741" t="s">
        <v>17</v>
      </c>
      <c r="C741" t="s">
        <v>27</v>
      </c>
      <c r="D741" s="1">
        <v>44614</v>
      </c>
      <c r="E741" s="2" t="s">
        <v>600</v>
      </c>
      <c r="F741" s="3" t="str">
        <f>HYPERLINK("https://maps.google.com/maps?q=5.01361,-74.48372&amp;ll=5.01361,-74.48372&amp;z=14.75z","Vía Bogotá - Medellín, Km 0.36 Villeta - Guaduas, , La Masata, Villeta, Cundinamarca")</f>
        <v>Vía Bogotá - Medellín, Km 0.36 Villeta - Guaduas, , La Masata, Villeta, Cundinamarca</v>
      </c>
      <c r="G741">
        <v>24</v>
      </c>
      <c r="H741">
        <v>138312</v>
      </c>
      <c r="I741">
        <v>-74.483720000000005</v>
      </c>
      <c r="J741">
        <v>5.0136099999999999</v>
      </c>
      <c r="K741" t="s">
        <v>23</v>
      </c>
      <c r="L741" s="1">
        <v>44614</v>
      </c>
      <c r="M741" s="2" t="s">
        <v>600</v>
      </c>
      <c r="N741" t="s">
        <v>20</v>
      </c>
      <c r="O741" t="s">
        <v>21</v>
      </c>
      <c r="P741" t="s">
        <v>28</v>
      </c>
    </row>
    <row r="742" spans="1:16" x14ac:dyDescent="0.25">
      <c r="A742" t="s">
        <v>16</v>
      </c>
      <c r="B742" t="s">
        <v>17</v>
      </c>
      <c r="C742" t="s">
        <v>18</v>
      </c>
      <c r="D742" s="1">
        <v>44614</v>
      </c>
      <c r="E742" s="2" t="s">
        <v>600</v>
      </c>
      <c r="F742" s="3" t="str">
        <f>HYPERLINK("https://maps.google.com/maps?q=5.01361,-74.48372&amp;ll=5.01361,-74.48372&amp;z=14.75z","Vía Bogotá - Medellín, Km 0.36 Villeta - Guaduas, , La Masata, Villeta, Cundinamarca")</f>
        <v>Vía Bogotá - Medellín, Km 0.36 Villeta - Guaduas, , La Masata, Villeta, Cundinamarca</v>
      </c>
      <c r="G742">
        <v>24</v>
      </c>
      <c r="H742">
        <v>138312</v>
      </c>
      <c r="I742">
        <v>-74.483720000000005</v>
      </c>
      <c r="J742">
        <v>5.0136099999999999</v>
      </c>
      <c r="K742" t="s">
        <v>23</v>
      </c>
      <c r="L742" s="1">
        <v>44614</v>
      </c>
      <c r="M742" s="2" t="s">
        <v>601</v>
      </c>
      <c r="N742" t="s">
        <v>20</v>
      </c>
      <c r="O742" t="s">
        <v>21</v>
      </c>
      <c r="P742" t="s">
        <v>28</v>
      </c>
    </row>
    <row r="743" spans="1:16" x14ac:dyDescent="0.25">
      <c r="A743" t="s">
        <v>16</v>
      </c>
      <c r="B743" t="s">
        <v>17</v>
      </c>
      <c r="C743" t="s">
        <v>18</v>
      </c>
      <c r="D743" s="1">
        <v>44614</v>
      </c>
      <c r="E743" s="2" t="s">
        <v>601</v>
      </c>
      <c r="F743" s="3" t="str">
        <f>HYPERLINK("https://maps.google.com/maps?q=5.01392,-74.47823&amp;ll=5.01392,-74.47823&amp;z=14.75z","Aut Bogotá - Medellín, Km 0.51 Villeta - La Vega, Colmena, , Villeta, Cundinamarca")</f>
        <v>Aut Bogotá - Medellín, Km 0.51 Villeta - La Vega, Colmena, , Villeta, Cundinamarca</v>
      </c>
      <c r="G743">
        <v>38</v>
      </c>
      <c r="H743">
        <v>138313</v>
      </c>
      <c r="I743">
        <v>-74.478229999999996</v>
      </c>
      <c r="J743">
        <v>5.0139199999999997</v>
      </c>
      <c r="K743" t="s">
        <v>23</v>
      </c>
      <c r="L743" s="1">
        <v>44614</v>
      </c>
      <c r="M743" s="2" t="s">
        <v>601</v>
      </c>
      <c r="N743" t="s">
        <v>20</v>
      </c>
      <c r="O743" t="s">
        <v>21</v>
      </c>
      <c r="P743" t="s">
        <v>22</v>
      </c>
    </row>
    <row r="744" spans="1:16" x14ac:dyDescent="0.25">
      <c r="A744" t="s">
        <v>16</v>
      </c>
      <c r="B744" t="s">
        <v>17</v>
      </c>
      <c r="C744" t="s">
        <v>18</v>
      </c>
      <c r="D744" s="1">
        <v>44614</v>
      </c>
      <c r="E744" s="2" t="s">
        <v>298</v>
      </c>
      <c r="F744" s="3" t="str">
        <f>HYPERLINK("https://maps.google.com/maps?q=5.01685,-74.474&amp;ll=5.01685,-74.474&amp;z=14.75z","Aut Bogotá - Medellín, Km 0.85 Villeta - La Vega, , , Villeta, Cundinamarca")</f>
        <v>Aut Bogotá - Medellín, Km 0.85 Villeta - La Vega, , , Villeta, Cundinamarca</v>
      </c>
      <c r="G744">
        <v>7</v>
      </c>
      <c r="H744">
        <v>138313</v>
      </c>
      <c r="I744">
        <v>-74.474000000000004</v>
      </c>
      <c r="J744">
        <v>5.0168499999999998</v>
      </c>
      <c r="K744" t="s">
        <v>41</v>
      </c>
      <c r="L744" s="1">
        <v>44614</v>
      </c>
      <c r="M744" s="2" t="s">
        <v>298</v>
      </c>
      <c r="N744" t="s">
        <v>20</v>
      </c>
      <c r="O744" t="s">
        <v>21</v>
      </c>
      <c r="P744" t="s">
        <v>22</v>
      </c>
    </row>
    <row r="745" spans="1:16" x14ac:dyDescent="0.25">
      <c r="A745" t="s">
        <v>16</v>
      </c>
      <c r="B745" t="s">
        <v>17</v>
      </c>
      <c r="C745" t="s">
        <v>18</v>
      </c>
      <c r="D745" s="1">
        <v>44614</v>
      </c>
      <c r="E745" s="2" t="s">
        <v>602</v>
      </c>
      <c r="F745" s="3" t="str">
        <f>HYPERLINK("https://maps.google.com/maps?q=5.01835,-74.47062&amp;ll=5.01835,-74.47062&amp;z=14.75z","Aut Bogotá - Medellín, Km 1.64 Villeta - La Vega, , , Villeta, Cundinamarca")</f>
        <v>Aut Bogotá - Medellín, Km 1.64 Villeta - La Vega, , , Villeta, Cundinamarca</v>
      </c>
      <c r="G745">
        <v>38</v>
      </c>
      <c r="H745">
        <v>138314</v>
      </c>
      <c r="I745">
        <v>-74.470619999999997</v>
      </c>
      <c r="J745">
        <v>5.0183499999999999</v>
      </c>
      <c r="K745" t="s">
        <v>23</v>
      </c>
      <c r="L745" s="1">
        <v>44614</v>
      </c>
      <c r="M745" s="2" t="s">
        <v>602</v>
      </c>
      <c r="N745" t="s">
        <v>20</v>
      </c>
      <c r="O745" t="s">
        <v>21</v>
      </c>
      <c r="P745" t="s">
        <v>22</v>
      </c>
    </row>
    <row r="746" spans="1:16" x14ac:dyDescent="0.25">
      <c r="A746" t="s">
        <v>16</v>
      </c>
      <c r="B746" t="s">
        <v>17</v>
      </c>
      <c r="C746" t="s">
        <v>18</v>
      </c>
      <c r="D746" s="1">
        <v>44614</v>
      </c>
      <c r="E746" s="2" t="s">
        <v>603</v>
      </c>
      <c r="F746" s="3" t="str">
        <f>HYPERLINK("https://maps.google.com/maps?q=5.02374,-74.47032&amp;ll=5.02374,-74.47032&amp;z=14.75z","Aut Bogotá - Medellín, Km 2.33 Villeta - La Vega, San Jorge, , Villeta, Cundinamarca")</f>
        <v>Aut Bogotá - Medellín, Km 2.33 Villeta - La Vega, San Jorge, , Villeta, Cundinamarca</v>
      </c>
      <c r="G746">
        <v>40</v>
      </c>
      <c r="H746">
        <v>138314</v>
      </c>
      <c r="I746">
        <v>-74.470320000000001</v>
      </c>
      <c r="J746">
        <v>5.0237400000000001</v>
      </c>
      <c r="K746" t="s">
        <v>24</v>
      </c>
      <c r="L746" s="1">
        <v>44614</v>
      </c>
      <c r="M746" s="2" t="s">
        <v>603</v>
      </c>
      <c r="N746" t="s">
        <v>20</v>
      </c>
      <c r="O746" t="s">
        <v>21</v>
      </c>
      <c r="P746" t="s">
        <v>22</v>
      </c>
    </row>
    <row r="747" spans="1:16" x14ac:dyDescent="0.25">
      <c r="A747" t="s">
        <v>16</v>
      </c>
      <c r="B747" t="s">
        <v>17</v>
      </c>
      <c r="C747" t="s">
        <v>27</v>
      </c>
      <c r="D747" s="1">
        <v>44614</v>
      </c>
      <c r="E747" s="2" t="s">
        <v>328</v>
      </c>
      <c r="F747" s="3" t="str">
        <f>HYPERLINK("https://maps.google.com/maps?q=5.03174,-74.46468&amp;ll=5.03174,-74.46468&amp;z=14.75z","Aut Bogotá - Medellín, Km 3.48 Villeta - La Vega, , Salitre Negro, Villeta, Cundinamarca")</f>
        <v>Aut Bogotá - Medellín, Km 3.48 Villeta - La Vega, , Salitre Negro, Villeta, Cundinamarca</v>
      </c>
      <c r="G747">
        <v>36</v>
      </c>
      <c r="H747">
        <v>138315</v>
      </c>
      <c r="I747">
        <v>-74.464680000000001</v>
      </c>
      <c r="J747">
        <v>5.0317400000000001</v>
      </c>
      <c r="K747" t="s">
        <v>23</v>
      </c>
      <c r="L747" s="1">
        <v>44614</v>
      </c>
      <c r="M747" s="2" t="s">
        <v>604</v>
      </c>
      <c r="N747" t="s">
        <v>20</v>
      </c>
      <c r="O747" t="s">
        <v>21</v>
      </c>
      <c r="P747" t="s">
        <v>28</v>
      </c>
    </row>
    <row r="748" spans="1:16" x14ac:dyDescent="0.25">
      <c r="A748" t="s">
        <v>16</v>
      </c>
      <c r="B748" t="s">
        <v>17</v>
      </c>
      <c r="C748" t="s">
        <v>18</v>
      </c>
      <c r="D748" s="1">
        <v>44614</v>
      </c>
      <c r="E748" s="2" t="s">
        <v>604</v>
      </c>
      <c r="F748" s="3" t="str">
        <f>HYPERLINK("https://maps.google.com/maps?q=5.03379,-74.45898&amp;ll=5.03379,-74.45898&amp;z=14.75z","Aut Bogotá - Medellín, Km 4.23 Villeta - La Vega, , , Villeta, Cundinamarca")</f>
        <v>Aut Bogotá - Medellín, Km 4.23 Villeta - La Vega, , , Villeta, Cundinamarca</v>
      </c>
      <c r="G748">
        <v>43</v>
      </c>
      <c r="H748">
        <v>138316</v>
      </c>
      <c r="I748">
        <v>-74.458979999999997</v>
      </c>
      <c r="J748">
        <v>5.0337899999999998</v>
      </c>
      <c r="K748" t="s">
        <v>24</v>
      </c>
      <c r="L748" s="1">
        <v>44614</v>
      </c>
      <c r="M748" s="2" t="s">
        <v>604</v>
      </c>
      <c r="N748" t="s">
        <v>20</v>
      </c>
      <c r="O748" t="s">
        <v>21</v>
      </c>
      <c r="P748" t="s">
        <v>22</v>
      </c>
    </row>
    <row r="749" spans="1:16" x14ac:dyDescent="0.25">
      <c r="A749" t="s">
        <v>16</v>
      </c>
      <c r="B749" t="s">
        <v>17</v>
      </c>
      <c r="C749" t="s">
        <v>18</v>
      </c>
      <c r="D749" s="1">
        <v>44614</v>
      </c>
      <c r="E749" s="2" t="s">
        <v>605</v>
      </c>
      <c r="F749" s="3" t="str">
        <f>HYPERLINK("https://maps.google.com/maps?q=5.03859,-74.45506&amp;ll=5.03859,-74.45506&amp;z=14.75z","Aut Bogotá - Medellín, Km 20.31 La Vega - Villeta, , , Villeta, Cundinamarca")</f>
        <v>Aut Bogotá - Medellín, Km 20.31 La Vega - Villeta, , , Villeta, Cundinamarca</v>
      </c>
      <c r="G749">
        <v>49</v>
      </c>
      <c r="H749">
        <v>138317</v>
      </c>
      <c r="I749">
        <v>-74.455060000000003</v>
      </c>
      <c r="J749">
        <v>5.0385900000000001</v>
      </c>
      <c r="K749" t="s">
        <v>24</v>
      </c>
      <c r="L749" s="1">
        <v>44614</v>
      </c>
      <c r="M749" s="2" t="s">
        <v>605</v>
      </c>
      <c r="N749" t="s">
        <v>20</v>
      </c>
      <c r="O749" t="s">
        <v>21</v>
      </c>
      <c r="P749" t="s">
        <v>22</v>
      </c>
    </row>
    <row r="750" spans="1:16" x14ac:dyDescent="0.25">
      <c r="A750" t="s">
        <v>16</v>
      </c>
      <c r="B750" t="s">
        <v>17</v>
      </c>
      <c r="C750" t="s">
        <v>18</v>
      </c>
      <c r="D750" s="1">
        <v>44614</v>
      </c>
      <c r="E750" s="2" t="s">
        <v>606</v>
      </c>
      <c r="F750" s="3" t="str">
        <f>HYPERLINK("https://maps.google.com/maps?q=5.04406,-74.45157&amp;ll=5.04406,-74.45157&amp;z=14.75z","Aut Bogotá - Medellín, Km 5.57 Villeta - La Vega, , Naranjal, Villeta, Cundinamarca")</f>
        <v>Aut Bogotá - Medellín, Km 5.57 Villeta - La Vega, , Naranjal, Villeta, Cundinamarca</v>
      </c>
      <c r="G750">
        <v>41</v>
      </c>
      <c r="H750">
        <v>138318</v>
      </c>
      <c r="I750">
        <v>-74.451570000000004</v>
      </c>
      <c r="J750">
        <v>5.04406</v>
      </c>
      <c r="K750" t="s">
        <v>23</v>
      </c>
      <c r="L750" s="1">
        <v>44614</v>
      </c>
      <c r="M750" s="2" t="s">
        <v>606</v>
      </c>
      <c r="N750" t="s">
        <v>20</v>
      </c>
      <c r="O750" t="s">
        <v>21</v>
      </c>
      <c r="P750" t="s">
        <v>22</v>
      </c>
    </row>
    <row r="751" spans="1:16" x14ac:dyDescent="0.25">
      <c r="A751" t="s">
        <v>16</v>
      </c>
      <c r="B751" t="s">
        <v>17</v>
      </c>
      <c r="C751" t="s">
        <v>18</v>
      </c>
      <c r="D751" s="1">
        <v>44614</v>
      </c>
      <c r="E751" s="2" t="s">
        <v>607</v>
      </c>
      <c r="F751" s="3" t="str">
        <f>HYPERLINK("https://maps.google.com/maps?q=5.04938,-74.45238&amp;ll=5.04938,-74.45238&amp;z=14.75z","Aut Bogotá - Medellín, Km 6.36 Villeta - La Vega, , Naranjal, Villeta, Cundinamarca")</f>
        <v>Aut Bogotá - Medellín, Km 6.36 Villeta - La Vega, , Naranjal, Villeta, Cundinamarca</v>
      </c>
      <c r="G751">
        <v>41</v>
      </c>
      <c r="H751">
        <v>138318</v>
      </c>
      <c r="I751">
        <v>-74.452380000000005</v>
      </c>
      <c r="J751">
        <v>5.0493800000000002</v>
      </c>
      <c r="K751" t="s">
        <v>23</v>
      </c>
      <c r="L751" s="1">
        <v>44614</v>
      </c>
      <c r="M751" s="2" t="s">
        <v>607</v>
      </c>
      <c r="N751" t="s">
        <v>20</v>
      </c>
      <c r="O751" t="s">
        <v>21</v>
      </c>
      <c r="P751" t="s">
        <v>22</v>
      </c>
    </row>
    <row r="752" spans="1:16" x14ac:dyDescent="0.25">
      <c r="A752" t="s">
        <v>16</v>
      </c>
      <c r="B752" t="s">
        <v>17</v>
      </c>
      <c r="C752" t="s">
        <v>18</v>
      </c>
      <c r="D752" s="1">
        <v>44614</v>
      </c>
      <c r="E752" s="2" t="s">
        <v>608</v>
      </c>
      <c r="F752" s="3" t="str">
        <f>HYPERLINK("https://maps.google.com/maps?q=5.0547,-74.45311&amp;ll=5.0547,-74.45311&amp;z=14.75z","Aut Bogotá - Medellín, Km 18.12 La Vega - Villeta, , Naranjal, Villeta, Cundinamarca")</f>
        <v>Aut Bogotá - Medellín, Km 18.12 La Vega - Villeta, , Naranjal, Villeta, Cundinamarca</v>
      </c>
      <c r="G752">
        <v>29</v>
      </c>
      <c r="H752">
        <v>138319</v>
      </c>
      <c r="I752">
        <v>-74.453109999999995</v>
      </c>
      <c r="J752">
        <v>5.0547000000000004</v>
      </c>
      <c r="K752" t="s">
        <v>23</v>
      </c>
      <c r="L752" s="1">
        <v>44614</v>
      </c>
      <c r="M752" s="2" t="s">
        <v>608</v>
      </c>
      <c r="N752" t="s">
        <v>20</v>
      </c>
      <c r="O752" t="s">
        <v>21</v>
      </c>
      <c r="P752" t="s">
        <v>22</v>
      </c>
    </row>
    <row r="753" spans="1:16" x14ac:dyDescent="0.25">
      <c r="A753" t="s">
        <v>16</v>
      </c>
      <c r="B753" t="s">
        <v>17</v>
      </c>
      <c r="C753" t="s">
        <v>18</v>
      </c>
      <c r="D753" s="1">
        <v>44614</v>
      </c>
      <c r="E753" s="2" t="s">
        <v>299</v>
      </c>
      <c r="F753" s="3" t="str">
        <f>HYPERLINK("https://maps.google.com/maps?q=5.05884,-74.45225&amp;ll=5.05884,-74.45225&amp;z=14.75z","Aut Bogotá - Medellín, Km 7.33 Villeta - La Vega, , Naranjal, Villeta, Cundinamarca")</f>
        <v>Aut Bogotá - Medellín, Km 7.33 Villeta - La Vega, , Naranjal, Villeta, Cundinamarca</v>
      </c>
      <c r="G753">
        <v>27</v>
      </c>
      <c r="H753">
        <v>138319</v>
      </c>
      <c r="I753">
        <v>-74.452250000000006</v>
      </c>
      <c r="J753">
        <v>5.05884</v>
      </c>
      <c r="K753" t="s">
        <v>24</v>
      </c>
      <c r="L753" s="1">
        <v>44614</v>
      </c>
      <c r="M753" s="2" t="s">
        <v>299</v>
      </c>
      <c r="N753" t="s">
        <v>20</v>
      </c>
      <c r="O753" t="s">
        <v>21</v>
      </c>
      <c r="P753" t="s">
        <v>22</v>
      </c>
    </row>
    <row r="754" spans="1:16" x14ac:dyDescent="0.25">
      <c r="A754" t="s">
        <v>16</v>
      </c>
      <c r="B754" t="s">
        <v>17</v>
      </c>
      <c r="C754" t="s">
        <v>18</v>
      </c>
      <c r="D754" s="1">
        <v>44614</v>
      </c>
      <c r="E754" s="2" t="s">
        <v>609</v>
      </c>
      <c r="F754" s="3" t="str">
        <f>HYPERLINK("https://maps.google.com/maps?q=5.06242,-74.45102&amp;ll=5.06242,-74.45102&amp;z=14.75z","Aut Bogotá - Medellín, Km 17.36 La Vega - Villeta, , Naranjal, Villeta, Cundinamarca")</f>
        <v>Aut Bogotá - Medellín, Km 17.36 La Vega - Villeta, , Naranjal, Villeta, Cundinamarca</v>
      </c>
      <c r="G754">
        <v>32</v>
      </c>
      <c r="H754">
        <v>138320</v>
      </c>
      <c r="I754">
        <v>-74.45102</v>
      </c>
      <c r="J754">
        <v>5.0624200000000004</v>
      </c>
      <c r="K754" t="s">
        <v>23</v>
      </c>
      <c r="L754" s="1">
        <v>44614</v>
      </c>
      <c r="M754" s="2" t="s">
        <v>609</v>
      </c>
      <c r="N754" t="s">
        <v>20</v>
      </c>
      <c r="O754" t="s">
        <v>21</v>
      </c>
      <c r="P754" t="s">
        <v>28</v>
      </c>
    </row>
    <row r="755" spans="1:16" x14ac:dyDescent="0.25">
      <c r="A755" t="s">
        <v>16</v>
      </c>
      <c r="B755" t="s">
        <v>17</v>
      </c>
      <c r="C755" t="s">
        <v>18</v>
      </c>
      <c r="D755" s="1">
        <v>44614</v>
      </c>
      <c r="E755" s="2" t="s">
        <v>609</v>
      </c>
      <c r="F755" s="3" t="str">
        <f>HYPERLINK("https://maps.google.com/maps?q=5.06688,-74.44814&amp;ll=5.06688,-74.44814&amp;z=14.75z","Aut Bogotá - Medellín, Km 8.13 Villeta - La Vega, , Naranjal, Villeta, Cundinamarca")</f>
        <v>Aut Bogotá - Medellín, Km 8.13 Villeta - La Vega, , Naranjal, Villeta, Cundinamarca</v>
      </c>
      <c r="G755">
        <v>38</v>
      </c>
      <c r="H755">
        <v>138320</v>
      </c>
      <c r="I755">
        <v>-74.448139999999995</v>
      </c>
      <c r="J755">
        <v>5.0668800000000003</v>
      </c>
      <c r="K755" t="s">
        <v>24</v>
      </c>
      <c r="L755" s="1">
        <v>44614</v>
      </c>
      <c r="M755" s="2" t="s">
        <v>610</v>
      </c>
      <c r="N755" t="s">
        <v>20</v>
      </c>
      <c r="O755" t="s">
        <v>21</v>
      </c>
      <c r="P755" t="s">
        <v>22</v>
      </c>
    </row>
    <row r="756" spans="1:16" x14ac:dyDescent="0.25">
      <c r="A756" t="s">
        <v>16</v>
      </c>
      <c r="B756" t="s">
        <v>17</v>
      </c>
      <c r="C756" t="s">
        <v>18</v>
      </c>
      <c r="D756" s="1">
        <v>44614</v>
      </c>
      <c r="E756" s="2" t="s">
        <v>610</v>
      </c>
      <c r="F756" s="3" t="str">
        <f>HYPERLINK("https://maps.google.com/maps?q=5.07145,-74.44594&amp;ll=5.07145,-74.44594&amp;z=14.75z","Aut Bogotá - Medellín, Km 16.17 La Vega - Villeta, , Tobia Grande, Villeta, Cundinamarca")</f>
        <v>Aut Bogotá - Medellín, Km 16.17 La Vega - Villeta, , Tobia Grande, Villeta, Cundinamarca</v>
      </c>
      <c r="G756">
        <v>36</v>
      </c>
      <c r="H756">
        <v>138321</v>
      </c>
      <c r="I756">
        <v>-74.445939999999993</v>
      </c>
      <c r="J756">
        <v>5.0714499999999996</v>
      </c>
      <c r="K756" t="s">
        <v>23</v>
      </c>
      <c r="L756" s="1">
        <v>44614</v>
      </c>
      <c r="M756" s="2" t="s">
        <v>610</v>
      </c>
      <c r="N756" t="s">
        <v>20</v>
      </c>
      <c r="O756" t="s">
        <v>21</v>
      </c>
      <c r="P756" t="s">
        <v>22</v>
      </c>
    </row>
    <row r="757" spans="1:16" x14ac:dyDescent="0.25">
      <c r="A757" t="s">
        <v>16</v>
      </c>
      <c r="B757" t="s">
        <v>17</v>
      </c>
      <c r="C757" t="s">
        <v>18</v>
      </c>
      <c r="D757" s="1">
        <v>44614</v>
      </c>
      <c r="E757" s="2" t="s">
        <v>611</v>
      </c>
      <c r="F757" s="3" t="str">
        <f>HYPERLINK("https://maps.google.com/maps?q=5.07128,-74.44265&amp;ll=5.07128,-74.44265&amp;z=14.75z","Aut Bogotá - Medellín, Km 9.96 Villeta - La Vega, , Tobia Grande, Nimaima, Cundinamarca")</f>
        <v>Aut Bogotá - Medellín, Km 9.96 Villeta - La Vega, , Tobia Grande, Nimaima, Cundinamarca</v>
      </c>
      <c r="G757">
        <v>30</v>
      </c>
      <c r="H757">
        <v>138322</v>
      </c>
      <c r="I757">
        <v>-74.44265</v>
      </c>
      <c r="J757">
        <v>5.0712799999999998</v>
      </c>
      <c r="K757" t="s">
        <v>41</v>
      </c>
      <c r="L757" s="1">
        <v>44614</v>
      </c>
      <c r="M757" s="2" t="s">
        <v>611</v>
      </c>
      <c r="N757" t="s">
        <v>20</v>
      </c>
      <c r="O757" t="s">
        <v>21</v>
      </c>
      <c r="P757" t="s">
        <v>22</v>
      </c>
    </row>
    <row r="758" spans="1:16" x14ac:dyDescent="0.25">
      <c r="A758" t="s">
        <v>16</v>
      </c>
      <c r="B758" t="s">
        <v>17</v>
      </c>
      <c r="C758" t="s">
        <v>18</v>
      </c>
      <c r="D758" s="1">
        <v>44614</v>
      </c>
      <c r="E758" s="2" t="s">
        <v>612</v>
      </c>
      <c r="F758" s="3" t="str">
        <f>HYPERLINK("https://maps.google.com/maps?q=5.07068,-74.43949&amp;ll=5.07068,-74.43949&amp;z=14.75z","Aut Bogotá - Medellín, Km 10.44 Villeta - La Vega, , Tobia Grande, Nimaima, Cundinamarca")</f>
        <v>Aut Bogotá - Medellín, Km 10.44 Villeta - La Vega, , Tobia Grande, Nimaima, Cundinamarca</v>
      </c>
      <c r="G758">
        <v>22</v>
      </c>
      <c r="H758">
        <v>138322</v>
      </c>
      <c r="I758">
        <v>-74.439490000000006</v>
      </c>
      <c r="J758">
        <v>5.0706800000000003</v>
      </c>
      <c r="K758" t="s">
        <v>33</v>
      </c>
      <c r="L758" s="1">
        <v>44614</v>
      </c>
      <c r="M758" s="2" t="s">
        <v>612</v>
      </c>
      <c r="N758" t="s">
        <v>20</v>
      </c>
      <c r="O758" t="s">
        <v>21</v>
      </c>
      <c r="P758" t="s">
        <v>22</v>
      </c>
    </row>
    <row r="759" spans="1:16" x14ac:dyDescent="0.25">
      <c r="A759" t="s">
        <v>16</v>
      </c>
      <c r="B759" t="s">
        <v>17</v>
      </c>
      <c r="C759" t="s">
        <v>18</v>
      </c>
      <c r="D759" s="1">
        <v>44614</v>
      </c>
      <c r="E759" s="2" t="s">
        <v>613</v>
      </c>
      <c r="F759" s="3" t="str">
        <f>HYPERLINK("https://maps.google.com/maps?q=5.06977,-74.43536&amp;ll=5.06977,-74.43536&amp;z=14.75z","Aut Bogotá - Medellín, Km 10.71 Villeta - La Vega, , Tobia Grande, Nimaima, Cundinamarca")</f>
        <v>Aut Bogotá - Medellín, Km 10.71 Villeta - La Vega, , Tobia Grande, Nimaima, Cundinamarca</v>
      </c>
      <c r="G759">
        <v>30</v>
      </c>
      <c r="H759">
        <v>138323</v>
      </c>
      <c r="I759">
        <v>-74.435360000000003</v>
      </c>
      <c r="J759">
        <v>5.0697700000000001</v>
      </c>
      <c r="K759" t="s">
        <v>33</v>
      </c>
      <c r="L759" s="1">
        <v>44614</v>
      </c>
      <c r="M759" s="2" t="s">
        <v>613</v>
      </c>
      <c r="N759" t="s">
        <v>20</v>
      </c>
      <c r="O759" t="s">
        <v>21</v>
      </c>
      <c r="P759" t="s">
        <v>22</v>
      </c>
    </row>
    <row r="760" spans="1:16" x14ac:dyDescent="0.25">
      <c r="A760" t="s">
        <v>16</v>
      </c>
      <c r="B760" t="s">
        <v>17</v>
      </c>
      <c r="C760" t="s">
        <v>18</v>
      </c>
      <c r="D760" s="1">
        <v>44614</v>
      </c>
      <c r="E760" s="2" t="s">
        <v>614</v>
      </c>
      <c r="F760" s="3" t="str">
        <f>HYPERLINK("https://maps.google.com/maps?q=5.0679,-74.43193&amp;ll=5.0679,-74.43193&amp;z=14.75z","Aut Bogotá - Medellín, Km 11.31 Villeta - La Vega, , Tobia Grande, Nimaima, Cundinamarca")</f>
        <v>Aut Bogotá - Medellín, Km 11.31 Villeta - La Vega, , Tobia Grande, Nimaima, Cundinamarca</v>
      </c>
      <c r="G760">
        <v>37</v>
      </c>
      <c r="H760">
        <v>138323</v>
      </c>
      <c r="I760">
        <v>-74.431929999999994</v>
      </c>
      <c r="J760">
        <v>5.0678999999999998</v>
      </c>
      <c r="K760" t="s">
        <v>41</v>
      </c>
      <c r="L760" s="1">
        <v>44614</v>
      </c>
      <c r="M760" s="2" t="s">
        <v>614</v>
      </c>
      <c r="N760" t="s">
        <v>20</v>
      </c>
      <c r="O760" t="s">
        <v>21</v>
      </c>
      <c r="P760" t="s">
        <v>22</v>
      </c>
    </row>
    <row r="761" spans="1:16" x14ac:dyDescent="0.25">
      <c r="A761" t="s">
        <v>16</v>
      </c>
      <c r="B761" t="s">
        <v>17</v>
      </c>
      <c r="C761" t="s">
        <v>18</v>
      </c>
      <c r="D761" s="1">
        <v>44614</v>
      </c>
      <c r="E761" s="2" t="s">
        <v>615</v>
      </c>
      <c r="F761" s="3" t="str">
        <f>HYPERLINK("https://maps.google.com/maps?q=5.06634,-74.42713&amp;ll=5.06634,-74.42713&amp;z=14.75z","Aut Bogotá - Medellín, Km 13.28 La Vega - Villeta, , Tobia Grande, Nimaima, Cundinamarca")</f>
        <v>Aut Bogotá - Medellín, Km 13.28 La Vega - Villeta, , Tobia Grande, Nimaima, Cundinamarca</v>
      </c>
      <c r="G761">
        <v>39</v>
      </c>
      <c r="H761">
        <v>138324</v>
      </c>
      <c r="I761">
        <v>-74.427130000000005</v>
      </c>
      <c r="J761">
        <v>5.0663400000000003</v>
      </c>
      <c r="K761" t="s">
        <v>41</v>
      </c>
      <c r="L761" s="1">
        <v>44614</v>
      </c>
      <c r="M761" s="2" t="s">
        <v>615</v>
      </c>
      <c r="N761" t="s">
        <v>20</v>
      </c>
      <c r="O761" t="s">
        <v>21</v>
      </c>
      <c r="P761" t="s">
        <v>22</v>
      </c>
    </row>
    <row r="762" spans="1:16" x14ac:dyDescent="0.25">
      <c r="A762" t="s">
        <v>16</v>
      </c>
      <c r="B762" t="s">
        <v>17</v>
      </c>
      <c r="C762" t="s">
        <v>18</v>
      </c>
      <c r="D762" s="1">
        <v>44614</v>
      </c>
      <c r="E762" s="2" t="s">
        <v>616</v>
      </c>
      <c r="F762" s="3" t="str">
        <f>HYPERLINK("https://maps.google.com/maps?q=5.06577,-74.41662&amp;ll=5.06577,-74.41662&amp;z=14.75z","Aut Bogotá - Medellín, Km 13.3 Villeta - La Vega, , Cocunche, Nocaima, Cundinamarca")</f>
        <v>Aut Bogotá - Medellín, Km 13.3 Villeta - La Vega, , Cocunche, Nocaima, Cundinamarca</v>
      </c>
      <c r="G762">
        <v>34</v>
      </c>
      <c r="H762">
        <v>138325</v>
      </c>
      <c r="I762">
        <v>-74.416619999999995</v>
      </c>
      <c r="J762">
        <v>5.0657699999999997</v>
      </c>
      <c r="K762" t="s">
        <v>41</v>
      </c>
      <c r="L762" s="1">
        <v>44614</v>
      </c>
      <c r="M762" s="2" t="s">
        <v>616</v>
      </c>
      <c r="N762" t="s">
        <v>20</v>
      </c>
      <c r="O762" t="s">
        <v>21</v>
      </c>
      <c r="P762" t="s">
        <v>22</v>
      </c>
    </row>
    <row r="763" spans="1:16" x14ac:dyDescent="0.25">
      <c r="A763" t="s">
        <v>16</v>
      </c>
      <c r="B763" t="s">
        <v>17</v>
      </c>
      <c r="C763" t="s">
        <v>18</v>
      </c>
      <c r="D763" s="1">
        <v>44614</v>
      </c>
      <c r="E763" s="2" t="s">
        <v>618</v>
      </c>
      <c r="F763" s="3" t="str">
        <f>HYPERLINK("https://maps.google.com/maps?q=5.06539,-74.41435&amp;ll=5.06539,-74.41435&amp;z=14.75z","Aut Bogotá - Medellín, Km 13.46 Villeta - La Vega, , Cocunche, Nocaima, Cundinamarca")</f>
        <v>Aut Bogotá - Medellín, Km 13.46 Villeta - La Vega, , Cocunche, Nocaima, Cundinamarca</v>
      </c>
      <c r="G763">
        <v>2</v>
      </c>
      <c r="H763">
        <v>138325</v>
      </c>
      <c r="I763">
        <v>-74.414349999999999</v>
      </c>
      <c r="J763">
        <v>5.0653899999999998</v>
      </c>
      <c r="K763" t="s">
        <v>41</v>
      </c>
      <c r="L763" s="1">
        <v>44614</v>
      </c>
      <c r="M763" s="2" t="s">
        <v>618</v>
      </c>
      <c r="N763" t="s">
        <v>20</v>
      </c>
      <c r="O763" t="s">
        <v>21</v>
      </c>
      <c r="P763" t="s">
        <v>22</v>
      </c>
    </row>
    <row r="764" spans="1:16" x14ac:dyDescent="0.25">
      <c r="A764" t="s">
        <v>16</v>
      </c>
      <c r="B764" t="s">
        <v>17</v>
      </c>
      <c r="C764" t="s">
        <v>18</v>
      </c>
      <c r="D764" s="1">
        <v>44614</v>
      </c>
      <c r="E764" s="2" t="s">
        <v>617</v>
      </c>
      <c r="F764" s="3" t="str">
        <f>HYPERLINK("https://maps.google.com/maps?q=5.06502,-74.41335&amp;ll=5.06502,-74.41335&amp;z=14.75z","Aut Bogotá - Medellín, Km 13.46 Villeta - La Vega, , Cocunche, Nocaima, Cundinamarca")</f>
        <v>Aut Bogotá - Medellín, Km 13.46 Villeta - La Vega, , Cocunche, Nocaima, Cundinamarca</v>
      </c>
      <c r="G764">
        <v>0</v>
      </c>
      <c r="H764">
        <v>138325</v>
      </c>
      <c r="I764">
        <v>-74.413349999999994</v>
      </c>
      <c r="J764">
        <v>5.0650199999999996</v>
      </c>
      <c r="K764" t="s">
        <v>41</v>
      </c>
      <c r="L764" s="1">
        <v>44614</v>
      </c>
      <c r="M764" s="2" t="s">
        <v>617</v>
      </c>
      <c r="N764" t="s">
        <v>20</v>
      </c>
      <c r="O764" t="s">
        <v>21</v>
      </c>
      <c r="P764" t="s">
        <v>22</v>
      </c>
    </row>
    <row r="765" spans="1:16" x14ac:dyDescent="0.25">
      <c r="A765" t="s">
        <v>16</v>
      </c>
      <c r="B765" t="s">
        <v>17</v>
      </c>
      <c r="C765" t="s">
        <v>18</v>
      </c>
      <c r="D765" s="1">
        <v>44614</v>
      </c>
      <c r="E765" s="2" t="s">
        <v>619</v>
      </c>
      <c r="F765" s="3" t="str">
        <f>HYPERLINK("https://maps.google.com/maps?q=5.06503,-74.41334&amp;ll=5.06503,-74.41334&amp;z=14.75z","Aut Bogotá - Medellín, Km 13.46 Villeta - La Vega, , Cocunche, Nocaima, Cundinamarca")</f>
        <v>Aut Bogotá - Medellín, Km 13.46 Villeta - La Vega, , Cocunche, Nocaima, Cundinamarca</v>
      </c>
      <c r="G765">
        <v>0</v>
      </c>
      <c r="H765">
        <v>138325</v>
      </c>
      <c r="I765">
        <v>-74.413340000000005</v>
      </c>
      <c r="J765">
        <v>5.0650300000000001</v>
      </c>
      <c r="K765" t="s">
        <v>41</v>
      </c>
      <c r="L765" s="1">
        <v>44614</v>
      </c>
      <c r="M765" s="2" t="s">
        <v>619</v>
      </c>
      <c r="N765" t="s">
        <v>20</v>
      </c>
      <c r="O765" t="s">
        <v>21</v>
      </c>
      <c r="P765" t="s">
        <v>22</v>
      </c>
    </row>
    <row r="766" spans="1:16" x14ac:dyDescent="0.25">
      <c r="A766" t="s">
        <v>16</v>
      </c>
      <c r="B766" t="s">
        <v>94</v>
      </c>
      <c r="C766" t="s">
        <v>18</v>
      </c>
      <c r="D766" s="1">
        <v>44614</v>
      </c>
      <c r="E766" s="2" t="s">
        <v>329</v>
      </c>
      <c r="F766" s="3" t="str">
        <f>HYPERLINK("https://maps.google.com/maps?q=5.06503,-74.41334&amp;ll=5.06503,-74.41334&amp;z=14.75z","Aut Bogotá - Medellín, Km 13.46 Villeta - La Vega, , Cocunche, Nocaima, Cundinamarca")</f>
        <v>Aut Bogotá - Medellín, Km 13.46 Villeta - La Vega, , Cocunche, Nocaima, Cundinamarca</v>
      </c>
      <c r="G766">
        <v>0</v>
      </c>
      <c r="H766">
        <v>138325</v>
      </c>
      <c r="I766">
        <v>-74.413340000000005</v>
      </c>
      <c r="J766">
        <v>5.0650300000000001</v>
      </c>
      <c r="K766" t="s">
        <v>41</v>
      </c>
      <c r="L766" s="1">
        <v>44614</v>
      </c>
      <c r="M766" s="2" t="s">
        <v>329</v>
      </c>
      <c r="N766" t="s">
        <v>20</v>
      </c>
      <c r="O766" t="s">
        <v>21</v>
      </c>
      <c r="P766" t="s">
        <v>22</v>
      </c>
    </row>
    <row r="767" spans="1:16" x14ac:dyDescent="0.25">
      <c r="A767" t="s">
        <v>16</v>
      </c>
      <c r="B767" t="s">
        <v>94</v>
      </c>
      <c r="C767" t="s">
        <v>18</v>
      </c>
      <c r="D767" s="1">
        <v>44614</v>
      </c>
      <c r="E767" s="2" t="s">
        <v>620</v>
      </c>
      <c r="F767" s="3" t="str">
        <f>HYPERLINK("https://maps.google.com/maps?q=5.06503,-74.41333&amp;ll=5.06503,-74.41333&amp;z=14.75z","Aut Bogotá - Medellín, Km 13.46 Villeta - La Vega, , Cocunche, Nocaima, Cundinamarca")</f>
        <v>Aut Bogotá - Medellín, Km 13.46 Villeta - La Vega, , Cocunche, Nocaima, Cundinamarca</v>
      </c>
      <c r="G767">
        <v>0</v>
      </c>
      <c r="H767">
        <v>138325</v>
      </c>
      <c r="I767">
        <v>-74.413330000000002</v>
      </c>
      <c r="J767">
        <v>5.0650300000000001</v>
      </c>
      <c r="K767" t="s">
        <v>41</v>
      </c>
      <c r="L767" s="1">
        <v>44614</v>
      </c>
      <c r="M767" s="2" t="s">
        <v>620</v>
      </c>
      <c r="N767" t="s">
        <v>20</v>
      </c>
      <c r="O767" t="s">
        <v>21</v>
      </c>
      <c r="P767" t="s">
        <v>22</v>
      </c>
    </row>
    <row r="768" spans="1:16" x14ac:dyDescent="0.25">
      <c r="A768" t="s">
        <v>16</v>
      </c>
      <c r="B768" t="s">
        <v>17</v>
      </c>
      <c r="C768" t="s">
        <v>18</v>
      </c>
      <c r="D768" s="1">
        <v>44614</v>
      </c>
      <c r="E768" s="2" t="s">
        <v>620</v>
      </c>
      <c r="F768" s="3" t="str">
        <f>HYPERLINK("https://maps.google.com/maps?q=5.06416,-74.41126&amp;ll=5.06416,-74.41126&amp;z=14.75z","Aut Bogotá - Medellín, Km 11.28 La Vega - Villeta, , Cocunche, Nocaima, Cundinamarca")</f>
        <v>Aut Bogotá - Medellín, Km 11.28 La Vega - Villeta, , Cocunche, Nocaima, Cundinamarca</v>
      </c>
      <c r="G768">
        <v>28</v>
      </c>
      <c r="H768">
        <v>138326</v>
      </c>
      <c r="I768">
        <v>-74.411259999999999</v>
      </c>
      <c r="J768">
        <v>5.0641600000000002</v>
      </c>
      <c r="K768" t="s">
        <v>41</v>
      </c>
      <c r="L768" s="1">
        <v>44614</v>
      </c>
      <c r="M768" s="2" t="s">
        <v>621</v>
      </c>
      <c r="N768" t="s">
        <v>20</v>
      </c>
      <c r="O768" t="s">
        <v>21</v>
      </c>
      <c r="P768" t="s">
        <v>22</v>
      </c>
    </row>
    <row r="769" spans="1:16" x14ac:dyDescent="0.25">
      <c r="A769" t="s">
        <v>16</v>
      </c>
      <c r="B769" t="s">
        <v>17</v>
      </c>
      <c r="C769" t="s">
        <v>18</v>
      </c>
      <c r="D769" s="1">
        <v>44614</v>
      </c>
      <c r="E769" s="2" t="s">
        <v>621</v>
      </c>
      <c r="F769" s="3" t="str">
        <f>HYPERLINK("https://maps.google.com/maps?q=5.06263,-74.40699&amp;ll=5.06263,-74.40699&amp;z=14.75z","Aut Bogotá - Medellín, Km 14.43 Villeta - La Vega, , Vilauta, Nocaima, Cundinamarca")</f>
        <v>Aut Bogotá - Medellín, Km 14.43 Villeta - La Vega, , Vilauta, Nocaima, Cundinamarca</v>
      </c>
      <c r="G769">
        <v>39</v>
      </c>
      <c r="H769">
        <v>138326</v>
      </c>
      <c r="I769">
        <v>-74.406989999999993</v>
      </c>
      <c r="J769">
        <v>5.0626300000000004</v>
      </c>
      <c r="K769" t="s">
        <v>41</v>
      </c>
      <c r="L769" s="1">
        <v>44614</v>
      </c>
      <c r="M769" s="2" t="s">
        <v>621</v>
      </c>
      <c r="N769" t="s">
        <v>20</v>
      </c>
      <c r="O769" t="s">
        <v>21</v>
      </c>
      <c r="P769" t="s">
        <v>22</v>
      </c>
    </row>
    <row r="770" spans="1:16" x14ac:dyDescent="0.25">
      <c r="A770" t="s">
        <v>16</v>
      </c>
      <c r="B770" t="s">
        <v>17</v>
      </c>
      <c r="C770" t="s">
        <v>18</v>
      </c>
      <c r="D770" s="1">
        <v>44614</v>
      </c>
      <c r="E770" s="2" t="s">
        <v>622</v>
      </c>
      <c r="F770" s="3" t="str">
        <f>HYPERLINK("https://maps.google.com/maps?q=5.06039,-74.40312&amp;ll=5.06039,-74.40312&amp;z=14.75z","Aut Bogotá - Medellín, Km 9.93 La Vega - Villeta, , Tobia, Nocaima, Cundinamarca")</f>
        <v>Aut Bogotá - Medellín, Km 9.93 La Vega - Villeta, , Tobia, Nocaima, Cundinamarca</v>
      </c>
      <c r="G770">
        <v>35</v>
      </c>
      <c r="H770">
        <v>138327</v>
      </c>
      <c r="I770">
        <v>-74.403120000000001</v>
      </c>
      <c r="J770">
        <v>5.0603899999999999</v>
      </c>
      <c r="K770" t="s">
        <v>33</v>
      </c>
      <c r="L770" s="1">
        <v>44614</v>
      </c>
      <c r="M770" s="2" t="s">
        <v>622</v>
      </c>
      <c r="N770" t="s">
        <v>20</v>
      </c>
      <c r="O770" t="s">
        <v>21</v>
      </c>
      <c r="P770" t="s">
        <v>22</v>
      </c>
    </row>
    <row r="771" spans="1:16" x14ac:dyDescent="0.25">
      <c r="A771" t="s">
        <v>16</v>
      </c>
      <c r="B771" t="s">
        <v>17</v>
      </c>
      <c r="C771" t="s">
        <v>18</v>
      </c>
      <c r="D771" s="1">
        <v>44614</v>
      </c>
      <c r="E771" s="2" t="s">
        <v>623</v>
      </c>
      <c r="F771" s="3" t="str">
        <f>HYPERLINK("https://maps.google.com/maps?q=5.05665,-74.4005&amp;ll=5.05665,-74.4005&amp;z=14.75z","Aut Bogotá - Medellín, Km 9.59 La Vega - Villeta, , Tobia, Nocaima, Cundinamarca")</f>
        <v>Aut Bogotá - Medellín, Km 9.59 La Vega - Villeta, , Tobia, Nocaima, Cundinamarca</v>
      </c>
      <c r="G771">
        <v>50</v>
      </c>
      <c r="H771">
        <v>138327</v>
      </c>
      <c r="I771">
        <v>-74.400499999999994</v>
      </c>
      <c r="J771">
        <v>5.0566500000000003</v>
      </c>
      <c r="K771" t="s">
        <v>31</v>
      </c>
      <c r="L771" s="1">
        <v>44614</v>
      </c>
      <c r="M771" s="2" t="s">
        <v>623</v>
      </c>
      <c r="N771" t="s">
        <v>20</v>
      </c>
      <c r="O771" t="s">
        <v>21</v>
      </c>
      <c r="P771" t="s">
        <v>22</v>
      </c>
    </row>
    <row r="772" spans="1:16" x14ac:dyDescent="0.25">
      <c r="A772" t="s">
        <v>16</v>
      </c>
      <c r="B772" t="s">
        <v>17</v>
      </c>
      <c r="C772" t="s">
        <v>18</v>
      </c>
      <c r="D772" s="1">
        <v>44614</v>
      </c>
      <c r="E772" s="2" t="s">
        <v>624</v>
      </c>
      <c r="F772" s="3" t="str">
        <f>HYPERLINK("https://maps.google.com/maps?q=5.0533,-74.39561&amp;ll=5.0533,-74.39561&amp;z=14.75z","Aut Bogotá - Medellín, Km 16.31 Villeta - La Vega, , Tobia, Nocaima, Cundinamarca")</f>
        <v>Aut Bogotá - Medellín, Km 16.31 Villeta - La Vega, , Tobia, Nocaima, Cundinamarca</v>
      </c>
      <c r="G772">
        <v>40</v>
      </c>
      <c r="H772">
        <v>138328</v>
      </c>
      <c r="I772">
        <v>-74.395610000000005</v>
      </c>
      <c r="J772">
        <v>5.0533000000000001</v>
      </c>
      <c r="K772" t="s">
        <v>41</v>
      </c>
      <c r="L772" s="1">
        <v>44614</v>
      </c>
      <c r="M772" s="2" t="s">
        <v>624</v>
      </c>
      <c r="N772" t="s">
        <v>20</v>
      </c>
      <c r="O772" t="s">
        <v>21</v>
      </c>
      <c r="P772" t="s">
        <v>22</v>
      </c>
    </row>
    <row r="773" spans="1:16" x14ac:dyDescent="0.25">
      <c r="A773" t="s">
        <v>16</v>
      </c>
      <c r="B773" t="s">
        <v>17</v>
      </c>
      <c r="C773" t="s">
        <v>18</v>
      </c>
      <c r="D773" s="1">
        <v>44614</v>
      </c>
      <c r="E773" s="2" t="s">
        <v>625</v>
      </c>
      <c r="F773" s="3" t="str">
        <f>HYPERLINK("https://maps.google.com/maps?q=5.05193,-74.39064&amp;ll=5.05193,-74.39064&amp;z=14.75z","Aut Bogotá - Medellín, Km 8.19 La Vega - Villeta, , Tobia, Nocaima, Cundinamarca")</f>
        <v>Aut Bogotá - Medellín, Km 8.19 La Vega - Villeta, , Tobia, Nocaima, Cundinamarca</v>
      </c>
      <c r="G773">
        <v>50</v>
      </c>
      <c r="H773">
        <v>138329</v>
      </c>
      <c r="I773">
        <v>-74.390640000000005</v>
      </c>
      <c r="J773">
        <v>5.0519299999999996</v>
      </c>
      <c r="K773" t="s">
        <v>33</v>
      </c>
      <c r="L773" s="1">
        <v>44614</v>
      </c>
      <c r="M773" s="2" t="s">
        <v>626</v>
      </c>
      <c r="N773" t="s">
        <v>20</v>
      </c>
      <c r="O773" t="s">
        <v>21</v>
      </c>
      <c r="P773" t="s">
        <v>22</v>
      </c>
    </row>
    <row r="774" spans="1:16" x14ac:dyDescent="0.25">
      <c r="A774" t="s">
        <v>16</v>
      </c>
      <c r="B774" t="s">
        <v>17</v>
      </c>
      <c r="C774" t="s">
        <v>18</v>
      </c>
      <c r="D774" s="1">
        <v>44614</v>
      </c>
      <c r="E774" s="2" t="s">
        <v>626</v>
      </c>
      <c r="F774" s="3" t="str">
        <f>HYPERLINK("https://maps.google.com/maps?q=5.05127,-74.38533&amp;ll=5.05127,-74.38533&amp;z=14.75z","Aut Bogotá - Medellín, Km 17.61 Villeta - La Vega, , Jagual, Nocaima, Cundinamarca")</f>
        <v>Aut Bogotá - Medellín, Km 17.61 Villeta - La Vega, , Jagual, Nocaima, Cundinamarca</v>
      </c>
      <c r="G774">
        <v>26</v>
      </c>
      <c r="H774">
        <v>138329</v>
      </c>
      <c r="I774">
        <v>-74.385329999999996</v>
      </c>
      <c r="J774">
        <v>5.0512699999999997</v>
      </c>
      <c r="K774" t="s">
        <v>24</v>
      </c>
      <c r="L774" s="1">
        <v>44614</v>
      </c>
      <c r="M774" s="2" t="s">
        <v>626</v>
      </c>
      <c r="N774" t="s">
        <v>20</v>
      </c>
      <c r="O774" t="s">
        <v>21</v>
      </c>
      <c r="P774" t="s">
        <v>22</v>
      </c>
    </row>
    <row r="775" spans="1:16" x14ac:dyDescent="0.25">
      <c r="A775" t="s">
        <v>16</v>
      </c>
      <c r="B775" t="s">
        <v>17</v>
      </c>
      <c r="C775" t="s">
        <v>18</v>
      </c>
      <c r="D775" s="1">
        <v>44614</v>
      </c>
      <c r="E775" s="2" t="s">
        <v>627</v>
      </c>
      <c r="F775" s="3" t="str">
        <f>HYPERLINK("https://maps.google.com/maps?q=5.04934,-74.38279&amp;ll=5.04934,-74.38279&amp;z=14.75z","Aut Bogotá - Medellín, Km 18.2 Villeta - La Vega, , Volcan, Nocaima, Cundinamarca")</f>
        <v>Aut Bogotá - Medellín, Km 18.2 Villeta - La Vega, , Volcan, Nocaima, Cundinamarca</v>
      </c>
      <c r="G775">
        <v>40</v>
      </c>
      <c r="H775">
        <v>138330</v>
      </c>
      <c r="I775">
        <v>-74.38279</v>
      </c>
      <c r="J775">
        <v>5.0493399999999999</v>
      </c>
      <c r="K775" t="s">
        <v>33</v>
      </c>
      <c r="L775" s="1">
        <v>44614</v>
      </c>
      <c r="M775" s="2" t="s">
        <v>627</v>
      </c>
      <c r="N775" t="s">
        <v>20</v>
      </c>
      <c r="O775" t="s">
        <v>21</v>
      </c>
      <c r="P775" t="s">
        <v>22</v>
      </c>
    </row>
    <row r="776" spans="1:16" x14ac:dyDescent="0.25">
      <c r="A776" t="s">
        <v>16</v>
      </c>
      <c r="B776" t="s">
        <v>17</v>
      </c>
      <c r="C776" t="s">
        <v>18</v>
      </c>
      <c r="D776" s="1">
        <v>44614</v>
      </c>
      <c r="E776" s="2" t="s">
        <v>628</v>
      </c>
      <c r="F776" s="3" t="str">
        <f>HYPERLINK("https://maps.google.com/maps?q=5.0485,-74.37774&amp;ll=5.0485,-74.37774&amp;z=14.75z","Aut Bogotá - Medellín, Km 18.81 Villeta - La Vega, , Volcan, Nocaima, Cundinamarca")</f>
        <v>Aut Bogotá - Medellín, Km 18.81 Villeta - La Vega, , Volcan, Nocaima, Cundinamarca</v>
      </c>
      <c r="G776">
        <v>38</v>
      </c>
      <c r="H776">
        <v>138330</v>
      </c>
      <c r="I776">
        <v>-74.377740000000003</v>
      </c>
      <c r="J776">
        <v>5.0484999999999998</v>
      </c>
      <c r="K776" t="s">
        <v>33</v>
      </c>
      <c r="L776" s="1">
        <v>44614</v>
      </c>
      <c r="M776" s="2" t="s">
        <v>628</v>
      </c>
      <c r="N776" t="s">
        <v>20</v>
      </c>
      <c r="O776" t="s">
        <v>21</v>
      </c>
      <c r="P776" t="s">
        <v>22</v>
      </c>
    </row>
    <row r="777" spans="1:16" x14ac:dyDescent="0.25">
      <c r="A777" t="s">
        <v>16</v>
      </c>
      <c r="B777" t="s">
        <v>17</v>
      </c>
      <c r="C777" t="s">
        <v>18</v>
      </c>
      <c r="D777" s="1">
        <v>44614</v>
      </c>
      <c r="E777" s="2" t="s">
        <v>629</v>
      </c>
      <c r="F777" s="3" t="str">
        <f>HYPERLINK("https://maps.google.com/maps?q=5.04447,-74.37514&amp;ll=5.04447,-74.37514&amp;z=14.75z","Aut Bogotá - Medellín, Km 5.86 La Vega - Villeta, , Volcan, Nocaima, Cundinamarca")</f>
        <v>Aut Bogotá - Medellín, Km 5.86 La Vega - Villeta, , Volcan, Nocaima, Cundinamarca</v>
      </c>
      <c r="G777">
        <v>10</v>
      </c>
      <c r="H777">
        <v>138331</v>
      </c>
      <c r="I777">
        <v>-74.375140000000002</v>
      </c>
      <c r="J777">
        <v>5.0444699999999996</v>
      </c>
      <c r="K777" t="s">
        <v>33</v>
      </c>
      <c r="L777" s="1">
        <v>44614</v>
      </c>
      <c r="M777" s="2" t="s">
        <v>629</v>
      </c>
      <c r="N777" t="s">
        <v>20</v>
      </c>
      <c r="O777" t="s">
        <v>21</v>
      </c>
      <c r="P777" t="s">
        <v>22</v>
      </c>
    </row>
    <row r="778" spans="1:16" x14ac:dyDescent="0.25">
      <c r="A778" t="s">
        <v>16</v>
      </c>
      <c r="B778" t="s">
        <v>17</v>
      </c>
      <c r="C778" t="s">
        <v>18</v>
      </c>
      <c r="D778" s="1">
        <v>44614</v>
      </c>
      <c r="E778" s="2" t="s">
        <v>630</v>
      </c>
      <c r="F778" s="3" t="str">
        <f>HYPERLINK("https://maps.google.com/maps?q=5.04104,-74.37226&amp;ll=5.04104,-74.37226&amp;z=14.75z","Aut Bogotá - Medellín, Km 5.25 La Vega - Villeta, , Petaquero, La Vega, Cundinamarca")</f>
        <v>Aut Bogotá - Medellín, Km 5.25 La Vega - Villeta, , Petaquero, La Vega, Cundinamarca</v>
      </c>
      <c r="G778">
        <v>41</v>
      </c>
      <c r="H778">
        <v>138331</v>
      </c>
      <c r="I778">
        <v>-74.372259999999997</v>
      </c>
      <c r="J778">
        <v>5.0410399999999997</v>
      </c>
      <c r="K778" t="s">
        <v>31</v>
      </c>
      <c r="L778" s="1">
        <v>44614</v>
      </c>
      <c r="M778" s="2" t="s">
        <v>630</v>
      </c>
      <c r="N778" t="s">
        <v>20</v>
      </c>
      <c r="O778" t="s">
        <v>21</v>
      </c>
      <c r="P778" t="s">
        <v>22</v>
      </c>
    </row>
    <row r="779" spans="1:16" x14ac:dyDescent="0.25">
      <c r="A779" t="s">
        <v>16</v>
      </c>
      <c r="B779" t="s">
        <v>17</v>
      </c>
      <c r="C779" t="s">
        <v>18</v>
      </c>
      <c r="D779" s="1">
        <v>44614</v>
      </c>
      <c r="E779" s="2" t="s">
        <v>631</v>
      </c>
      <c r="F779" s="3" t="str">
        <f>HYPERLINK("https://maps.google.com/maps?q=5.03706,-74.37035&amp;ll=5.03706,-74.37035&amp;z=14.75z","Aut Bogotá - Medellín, Km 20.37 Villeta - La Vega, , Petaquero, La Vega, Cundinamarca")</f>
        <v>Aut Bogotá - Medellín, Km 20.37 Villeta - La Vega, , Petaquero, La Vega, Cundinamarca</v>
      </c>
      <c r="G779">
        <v>23</v>
      </c>
      <c r="H779">
        <v>138332</v>
      </c>
      <c r="I779">
        <v>-74.370350000000002</v>
      </c>
      <c r="J779">
        <v>5.0370600000000003</v>
      </c>
      <c r="K779" t="s">
        <v>33</v>
      </c>
      <c r="L779" s="1">
        <v>44614</v>
      </c>
      <c r="M779" s="2" t="s">
        <v>631</v>
      </c>
      <c r="N779" t="s">
        <v>20</v>
      </c>
      <c r="O779" t="s">
        <v>21</v>
      </c>
      <c r="P779" t="s">
        <v>22</v>
      </c>
    </row>
    <row r="780" spans="1:16" x14ac:dyDescent="0.25">
      <c r="A780" t="s">
        <v>16</v>
      </c>
      <c r="B780" t="s">
        <v>17</v>
      </c>
      <c r="C780" t="s">
        <v>18</v>
      </c>
      <c r="D780" s="1">
        <v>44614</v>
      </c>
      <c r="E780" s="2" t="s">
        <v>632</v>
      </c>
      <c r="F780" s="3" t="str">
        <f>HYPERLINK("https://maps.google.com/maps?q=5.03317,-74.36846&amp;ll=5.03317,-74.36846&amp;z=14.75z","Aut Bogotá - Medellín, Km 20.78 Villeta - La Vega, , Petaquero, La Vega, Cundinamarca")</f>
        <v>Aut Bogotá - Medellín, Km 20.78 Villeta - La Vega, , Petaquero, La Vega, Cundinamarca</v>
      </c>
      <c r="G780">
        <v>31</v>
      </c>
      <c r="H780">
        <v>138332</v>
      </c>
      <c r="I780">
        <v>-74.368459999999999</v>
      </c>
      <c r="J780">
        <v>5.0331700000000001</v>
      </c>
      <c r="K780" t="s">
        <v>33</v>
      </c>
      <c r="L780" s="1">
        <v>44614</v>
      </c>
      <c r="M780" s="2" t="s">
        <v>632</v>
      </c>
      <c r="N780" t="s">
        <v>20</v>
      </c>
      <c r="O780" t="s">
        <v>21</v>
      </c>
      <c r="P780" t="s">
        <v>22</v>
      </c>
    </row>
    <row r="781" spans="1:16" x14ac:dyDescent="0.25">
      <c r="A781" t="s">
        <v>16</v>
      </c>
      <c r="B781" t="s">
        <v>17</v>
      </c>
      <c r="C781" t="s">
        <v>18</v>
      </c>
      <c r="D781" s="1">
        <v>44614</v>
      </c>
      <c r="E781" s="2" t="s">
        <v>633</v>
      </c>
      <c r="F781" s="3" t="str">
        <f>HYPERLINK("https://maps.google.com/maps?q=5.02915,-74.36637&amp;ll=5.02915,-74.36637&amp;z=14.75z","Aut Bogotá - Medellín, Km 3.89 La Vega - Villeta, , Petaquero, La Vega, Cundinamarca")</f>
        <v>Aut Bogotá - Medellín, Km 3.89 La Vega - Villeta, , Petaquero, La Vega, Cundinamarca</v>
      </c>
      <c r="G781">
        <v>38</v>
      </c>
      <c r="H781">
        <v>138333</v>
      </c>
      <c r="I781">
        <v>-74.366370000000003</v>
      </c>
      <c r="J781">
        <v>5.0291499999999996</v>
      </c>
      <c r="K781" t="s">
        <v>31</v>
      </c>
      <c r="L781" s="1">
        <v>44614</v>
      </c>
      <c r="M781" s="2" t="s">
        <v>633</v>
      </c>
      <c r="N781" t="s">
        <v>20</v>
      </c>
      <c r="O781" t="s">
        <v>21</v>
      </c>
      <c r="P781" t="s">
        <v>22</v>
      </c>
    </row>
    <row r="782" spans="1:16" x14ac:dyDescent="0.25">
      <c r="A782" t="s">
        <v>16</v>
      </c>
      <c r="B782" t="s">
        <v>17</v>
      </c>
      <c r="C782" t="s">
        <v>18</v>
      </c>
      <c r="D782" s="1">
        <v>44614</v>
      </c>
      <c r="E782" s="2" t="s">
        <v>634</v>
      </c>
      <c r="F782" s="3" t="str">
        <f>HYPERLINK("https://maps.google.com/maps?q=5.02507,-74.36219&amp;ll=5.02507,-74.36219&amp;z=14.75z","Aut Bogotá - Medellín, Km 3.24 La Vega - Villeta, , La Cabana, La Vega, Cundinamarca")</f>
        <v>Aut Bogotá - Medellín, Km 3.24 La Vega - Villeta, , La Cabana, La Vega, Cundinamarca</v>
      </c>
      <c r="G782">
        <v>41</v>
      </c>
      <c r="H782">
        <v>138334</v>
      </c>
      <c r="I782">
        <v>-74.362189999999998</v>
      </c>
      <c r="J782">
        <v>5.0250700000000004</v>
      </c>
      <c r="K782" t="s">
        <v>33</v>
      </c>
      <c r="L782" s="1">
        <v>44614</v>
      </c>
      <c r="M782" s="2" t="s">
        <v>634</v>
      </c>
      <c r="N782" t="s">
        <v>20</v>
      </c>
      <c r="O782" t="s">
        <v>21</v>
      </c>
      <c r="P782" t="s">
        <v>22</v>
      </c>
    </row>
    <row r="783" spans="1:16" x14ac:dyDescent="0.25">
      <c r="A783" t="s">
        <v>16</v>
      </c>
      <c r="B783" t="s">
        <v>17</v>
      </c>
      <c r="C783" t="s">
        <v>18</v>
      </c>
      <c r="D783" s="1">
        <v>44614</v>
      </c>
      <c r="E783" s="2" t="s">
        <v>634</v>
      </c>
      <c r="F783" s="3" t="str">
        <f>HYPERLINK("https://maps.google.com/maps?q=5.02196,-74.35766&amp;ll=5.02196,-74.35766&amp;z=14.75z","Aut Bogotá - Medellín, Km 22.7 Villeta - La Vega, , La Cabana, La Vega, Cundinamarca")</f>
        <v>Aut Bogotá - Medellín, Km 22.7 Villeta - La Vega, , La Cabana, La Vega, Cundinamarca</v>
      </c>
      <c r="G783">
        <v>30</v>
      </c>
      <c r="H783">
        <v>138334</v>
      </c>
      <c r="I783">
        <v>-74.357659999999996</v>
      </c>
      <c r="J783">
        <v>5.02196</v>
      </c>
      <c r="K783" t="s">
        <v>41</v>
      </c>
      <c r="L783" s="1">
        <v>44614</v>
      </c>
      <c r="M783" s="2" t="s">
        <v>300</v>
      </c>
      <c r="N783" t="s">
        <v>20</v>
      </c>
      <c r="O783" t="s">
        <v>21</v>
      </c>
      <c r="P783" t="s">
        <v>22</v>
      </c>
    </row>
    <row r="784" spans="1:16" x14ac:dyDescent="0.25">
      <c r="A784" t="s">
        <v>16</v>
      </c>
      <c r="B784" t="s">
        <v>17</v>
      </c>
      <c r="C784" t="s">
        <v>18</v>
      </c>
      <c r="D784" s="1">
        <v>44614</v>
      </c>
      <c r="E784" s="2" t="s">
        <v>300</v>
      </c>
      <c r="F784" s="3" t="str">
        <f>HYPERLINK("https://maps.google.com/maps?q=5.02143,-74.35336&amp;ll=5.02143,-74.35336&amp;z=14.75z","Aut Bogotá - Medellín, Km 23.1 Villeta - La Vega, , Ucrania, La Vega, Cundinamarca")</f>
        <v>Aut Bogotá - Medellín, Km 23.1 Villeta - La Vega, , Ucrania, La Vega, Cundinamarca</v>
      </c>
      <c r="G784">
        <v>30</v>
      </c>
      <c r="H784">
        <v>138335</v>
      </c>
      <c r="I784">
        <v>-74.353359999999995</v>
      </c>
      <c r="J784">
        <v>5.0214299999999996</v>
      </c>
      <c r="K784" t="s">
        <v>41</v>
      </c>
      <c r="L784" s="1">
        <v>44614</v>
      </c>
      <c r="M784" s="2" t="s">
        <v>635</v>
      </c>
      <c r="N784" t="s">
        <v>20</v>
      </c>
      <c r="O784" t="s">
        <v>21</v>
      </c>
      <c r="P784" t="s">
        <v>22</v>
      </c>
    </row>
    <row r="785" spans="1:16" x14ac:dyDescent="0.25">
      <c r="A785" t="s">
        <v>16</v>
      </c>
      <c r="B785" t="s">
        <v>17</v>
      </c>
      <c r="C785" t="s">
        <v>18</v>
      </c>
      <c r="D785" s="1">
        <v>44614</v>
      </c>
      <c r="E785" s="2" t="s">
        <v>635</v>
      </c>
      <c r="F785" s="3" t="str">
        <f>HYPERLINK("https://maps.google.com/maps?q=5.0199,-74.35052&amp;ll=5.0199,-74.35052&amp;z=14.75z","Aut Bogotá - Medellín, Km 1.71 La Vega - Villeta, , Rosario, La Vega, Cundinamarca")</f>
        <v>Aut Bogotá - Medellín, Km 1.71 La Vega - Villeta, , Rosario, La Vega, Cundinamarca</v>
      </c>
      <c r="G785">
        <v>23</v>
      </c>
      <c r="H785">
        <v>138335</v>
      </c>
      <c r="I785">
        <v>-74.350520000000003</v>
      </c>
      <c r="J785">
        <v>5.0198999999999998</v>
      </c>
      <c r="K785" t="s">
        <v>33</v>
      </c>
      <c r="L785" s="1">
        <v>44614</v>
      </c>
      <c r="M785" s="2" t="s">
        <v>635</v>
      </c>
      <c r="N785" t="s">
        <v>20</v>
      </c>
      <c r="O785" t="s">
        <v>21</v>
      </c>
      <c r="P785" t="s">
        <v>22</v>
      </c>
    </row>
    <row r="786" spans="1:16" x14ac:dyDescent="0.25">
      <c r="A786" t="s">
        <v>16</v>
      </c>
      <c r="B786" t="s">
        <v>17</v>
      </c>
      <c r="C786" t="s">
        <v>18</v>
      </c>
      <c r="D786" s="1">
        <v>44614</v>
      </c>
      <c r="E786" s="2" t="s">
        <v>636</v>
      </c>
      <c r="F786" s="3" t="str">
        <f>HYPERLINK("https://maps.google.com/maps?q=5.01706,-74.34916&amp;ll=5.01706,-74.34916&amp;z=14.75z","Aut Bogotá - Medellín, Km 23.85 Villeta - La Vega, , Rosario, La Vega, Cundinamarca")</f>
        <v>Aut Bogotá - Medellín, Km 23.85 Villeta - La Vega, , Rosario, La Vega, Cundinamarca</v>
      </c>
      <c r="G786">
        <v>21</v>
      </c>
      <c r="H786">
        <v>138335</v>
      </c>
      <c r="I786">
        <v>-74.349159999999998</v>
      </c>
      <c r="J786">
        <v>5.0170599999999999</v>
      </c>
      <c r="K786" t="s">
        <v>31</v>
      </c>
      <c r="L786" s="1">
        <v>44614</v>
      </c>
      <c r="M786" s="2" t="s">
        <v>636</v>
      </c>
      <c r="N786" t="s">
        <v>20</v>
      </c>
      <c r="O786" t="s">
        <v>21</v>
      </c>
      <c r="P786" t="s">
        <v>22</v>
      </c>
    </row>
    <row r="787" spans="1:16" x14ac:dyDescent="0.25">
      <c r="A787" t="s">
        <v>16</v>
      </c>
      <c r="B787" t="s">
        <v>17</v>
      </c>
      <c r="C787" t="s">
        <v>18</v>
      </c>
      <c r="D787" s="1">
        <v>44614</v>
      </c>
      <c r="E787" s="2" t="s">
        <v>637</v>
      </c>
      <c r="F787" s="3" t="str">
        <f>HYPERLINK("https://maps.google.com/maps?q=5.01391,-74.34747&amp;ll=5.01391,-74.34747&amp;z=14.75z","Aut Bogotá - Medellín, Km 24.32 Villeta - La Vega, , Rosario, La Vega, Cundinamarca")</f>
        <v>Aut Bogotá - Medellín, Km 24.32 Villeta - La Vega, , Rosario, La Vega, Cundinamarca</v>
      </c>
      <c r="G787">
        <v>30</v>
      </c>
      <c r="H787">
        <v>138336</v>
      </c>
      <c r="I787">
        <v>-74.347470000000001</v>
      </c>
      <c r="J787">
        <v>5.0139100000000001</v>
      </c>
      <c r="K787" t="s">
        <v>31</v>
      </c>
      <c r="L787" s="1">
        <v>44614</v>
      </c>
      <c r="M787" s="2" t="s">
        <v>637</v>
      </c>
      <c r="N787" t="s">
        <v>20</v>
      </c>
      <c r="O787" t="s">
        <v>21</v>
      </c>
      <c r="P787" t="s">
        <v>22</v>
      </c>
    </row>
    <row r="788" spans="1:16" x14ac:dyDescent="0.25">
      <c r="A788" t="s">
        <v>16</v>
      </c>
      <c r="B788" t="s">
        <v>17</v>
      </c>
      <c r="C788" t="s">
        <v>18</v>
      </c>
      <c r="D788" s="1">
        <v>44614</v>
      </c>
      <c r="E788" s="2" t="s">
        <v>638</v>
      </c>
      <c r="F788" s="3" t="str">
        <f>HYPERLINK("https://maps.google.com/maps?q=5.00983,-74.34601&amp;ll=5.00983,-74.34601&amp;z=14.75z","Aut Bogotá - Medellín, Km 24.78 Villeta - La Vega, , Rosario, La Vega, Cundinamarca")</f>
        <v>Aut Bogotá - Medellín, Km 24.78 Villeta - La Vega, , Rosario, La Vega, Cundinamarca</v>
      </c>
      <c r="G788">
        <v>33</v>
      </c>
      <c r="H788">
        <v>138336</v>
      </c>
      <c r="I788">
        <v>-74.346010000000007</v>
      </c>
      <c r="J788">
        <v>5.00983</v>
      </c>
      <c r="K788" t="s">
        <v>31</v>
      </c>
      <c r="L788" s="1">
        <v>44614</v>
      </c>
      <c r="M788" s="2" t="s">
        <v>638</v>
      </c>
      <c r="N788" t="s">
        <v>20</v>
      </c>
      <c r="O788" t="s">
        <v>21</v>
      </c>
      <c r="P788" t="s">
        <v>22</v>
      </c>
    </row>
    <row r="789" spans="1:16" x14ac:dyDescent="0.25">
      <c r="A789" t="s">
        <v>16</v>
      </c>
      <c r="B789" t="s">
        <v>17</v>
      </c>
      <c r="C789" t="s">
        <v>18</v>
      </c>
      <c r="D789" s="1">
        <v>44614</v>
      </c>
      <c r="E789" s="2" t="s">
        <v>639</v>
      </c>
      <c r="F789" s="3" t="str">
        <f>HYPERLINK("https://maps.google.com/maps?q=5.00602,-74.34435&amp;ll=5.00602,-74.34435&amp;z=14.75z","Aut Bogotá - Medellín, Km 25.15 Villeta - La Vega, , , La Vega, Cundinamarca")</f>
        <v>Aut Bogotá - Medellín, Km 25.15 Villeta - La Vega, , , La Vega, Cundinamarca</v>
      </c>
      <c r="G789">
        <v>33</v>
      </c>
      <c r="H789">
        <v>138337</v>
      </c>
      <c r="I789">
        <v>-74.344350000000006</v>
      </c>
      <c r="J789">
        <v>5.0060200000000004</v>
      </c>
      <c r="K789" t="s">
        <v>31</v>
      </c>
      <c r="L789" s="1">
        <v>44614</v>
      </c>
      <c r="M789" s="2" t="s">
        <v>639</v>
      </c>
      <c r="N789" t="s">
        <v>20</v>
      </c>
      <c r="O789" t="s">
        <v>21</v>
      </c>
      <c r="P789" t="s">
        <v>22</v>
      </c>
    </row>
    <row r="790" spans="1:16" x14ac:dyDescent="0.25">
      <c r="A790" t="s">
        <v>16</v>
      </c>
      <c r="B790" t="s">
        <v>17</v>
      </c>
      <c r="C790" t="s">
        <v>18</v>
      </c>
      <c r="D790" s="1">
        <v>44614</v>
      </c>
      <c r="E790" s="2" t="s">
        <v>640</v>
      </c>
      <c r="F790" s="3" t="str">
        <f>HYPERLINK("https://maps.google.com/maps?q=5.00268,-74.34285&amp;ll=5.00268,-74.34285&amp;z=14.75z","Cra 4, 24, , , La Vega, Cundinamarca")</f>
        <v>Cra 4, 24, , , La Vega, Cundinamarca</v>
      </c>
      <c r="G790">
        <v>30</v>
      </c>
      <c r="H790">
        <v>138337</v>
      </c>
      <c r="I790">
        <v>-74.342849999999999</v>
      </c>
      <c r="J790">
        <v>5.0026799999999998</v>
      </c>
      <c r="K790" t="s">
        <v>33</v>
      </c>
      <c r="L790" s="1">
        <v>44614</v>
      </c>
      <c r="M790" s="2" t="s">
        <v>640</v>
      </c>
      <c r="N790" t="s">
        <v>20</v>
      </c>
      <c r="O790" t="s">
        <v>21</v>
      </c>
      <c r="P790" t="s">
        <v>22</v>
      </c>
    </row>
    <row r="791" spans="1:16" x14ac:dyDescent="0.25">
      <c r="A791" t="s">
        <v>16</v>
      </c>
      <c r="B791" t="s">
        <v>17</v>
      </c>
      <c r="C791" t="s">
        <v>18</v>
      </c>
      <c r="D791" s="1">
        <v>44614</v>
      </c>
      <c r="E791" s="2" t="s">
        <v>641</v>
      </c>
      <c r="F791" s="3" t="str">
        <f>HYPERLINK("https://maps.google.com/maps?q=4.999,-74.34064&amp;ll=4.999,-74.34064&amp;z=14.75z","Cra 3A, 19, , , La Vega, Cundinamarca")</f>
        <v>Cra 3A, 19, , , La Vega, Cundinamarca</v>
      </c>
      <c r="G791">
        <v>34</v>
      </c>
      <c r="H791">
        <v>138338</v>
      </c>
      <c r="I791">
        <v>-74.340639999999993</v>
      </c>
      <c r="J791">
        <v>4.9989999999999997</v>
      </c>
      <c r="K791" t="s">
        <v>33</v>
      </c>
      <c r="L791" s="1">
        <v>44614</v>
      </c>
      <c r="M791" s="2" t="s">
        <v>641</v>
      </c>
      <c r="N791" t="s">
        <v>20</v>
      </c>
      <c r="O791" t="s">
        <v>21</v>
      </c>
      <c r="P791" t="s">
        <v>22</v>
      </c>
    </row>
    <row r="792" spans="1:16" x14ac:dyDescent="0.25">
      <c r="A792" t="s">
        <v>16</v>
      </c>
      <c r="B792" t="s">
        <v>17</v>
      </c>
      <c r="C792" t="s">
        <v>18</v>
      </c>
      <c r="D792" s="1">
        <v>44614</v>
      </c>
      <c r="E792" s="2" t="s">
        <v>642</v>
      </c>
      <c r="F792" s="3" t="str">
        <f>HYPERLINK("https://maps.google.com/maps?q=4.99506,-74.33856&amp;ll=4.99506,-74.33856&amp;z=14.75z","Cra 4A, 13A, , , La Vega, Cundinamarca")</f>
        <v>Cra 4A, 13A, , , La Vega, Cundinamarca</v>
      </c>
      <c r="G792">
        <v>31</v>
      </c>
      <c r="H792">
        <v>138338</v>
      </c>
      <c r="I792">
        <v>-74.338560000000001</v>
      </c>
      <c r="J792">
        <v>4.9950599999999996</v>
      </c>
      <c r="K792" t="s">
        <v>33</v>
      </c>
      <c r="L792" s="1">
        <v>44614</v>
      </c>
      <c r="M792" s="2" t="s">
        <v>642</v>
      </c>
      <c r="N792" t="s">
        <v>20</v>
      </c>
      <c r="O792" t="s">
        <v>21</v>
      </c>
      <c r="P792" t="s">
        <v>22</v>
      </c>
    </row>
    <row r="793" spans="1:16" x14ac:dyDescent="0.25">
      <c r="A793" t="s">
        <v>16</v>
      </c>
      <c r="B793" t="s">
        <v>17</v>
      </c>
      <c r="C793" t="s">
        <v>18</v>
      </c>
      <c r="D793" s="1">
        <v>44614</v>
      </c>
      <c r="E793" s="2" t="s">
        <v>643</v>
      </c>
      <c r="F793" s="3" t="str">
        <f>HYPERLINK("https://maps.google.com/maps?q=4.99381,-74.33428&amp;ll=4.99381,-74.33428&amp;z=14.75z","Cra 4, 8, , , La Vega, Cundinamarca")</f>
        <v>Cra 4, 8, , , La Vega, Cundinamarca</v>
      </c>
      <c r="G793">
        <v>32</v>
      </c>
      <c r="H793">
        <v>138339</v>
      </c>
      <c r="I793">
        <v>-74.334280000000007</v>
      </c>
      <c r="J793">
        <v>4.9938099999999999</v>
      </c>
      <c r="K793" t="s">
        <v>41</v>
      </c>
      <c r="L793" s="1">
        <v>44614</v>
      </c>
      <c r="M793" s="2" t="s">
        <v>643</v>
      </c>
      <c r="N793" t="s">
        <v>20</v>
      </c>
      <c r="O793" t="s">
        <v>21</v>
      </c>
      <c r="P793" t="s">
        <v>22</v>
      </c>
    </row>
    <row r="794" spans="1:16" x14ac:dyDescent="0.25">
      <c r="A794" t="s">
        <v>16</v>
      </c>
      <c r="B794" t="s">
        <v>17</v>
      </c>
      <c r="C794" t="s">
        <v>18</v>
      </c>
      <c r="D794" s="1">
        <v>44614</v>
      </c>
      <c r="E794" s="2" t="s">
        <v>644</v>
      </c>
      <c r="F794" s="3" t="str">
        <f>HYPERLINK("https://maps.google.com/maps?q=4.99146,-74.33073&amp;ll=4.99146,-74.33073&amp;z=14.75z","Cra 3, 1, , , La Vega, Cundinamarca")</f>
        <v>Cra 3, 1, , , La Vega, Cundinamarca</v>
      </c>
      <c r="G794">
        <v>31</v>
      </c>
      <c r="H794">
        <v>138339</v>
      </c>
      <c r="I794">
        <v>-74.330730000000003</v>
      </c>
      <c r="J794">
        <v>4.99146</v>
      </c>
      <c r="K794" t="s">
        <v>33</v>
      </c>
      <c r="L794" s="1">
        <v>44614</v>
      </c>
      <c r="M794" s="2" t="s">
        <v>644</v>
      </c>
      <c r="N794" t="s">
        <v>20</v>
      </c>
      <c r="O794" t="s">
        <v>21</v>
      </c>
      <c r="P794" t="s">
        <v>22</v>
      </c>
    </row>
    <row r="795" spans="1:16" x14ac:dyDescent="0.25">
      <c r="A795" t="s">
        <v>16</v>
      </c>
      <c r="B795" t="s">
        <v>17</v>
      </c>
      <c r="C795" t="s">
        <v>18</v>
      </c>
      <c r="D795" s="1">
        <v>44614</v>
      </c>
      <c r="E795" s="2" t="s">
        <v>645</v>
      </c>
      <c r="F795" s="3" t="str">
        <f>HYPERLINK("https://maps.google.com/maps?q=4.98863,-74.32785&amp;ll=4.98863,-74.32785&amp;z=14.75z","Aut Bogotá - Medellín, Km 0.6 La Vega - Entrada Norte Sn Fco, , , La Vega, Cundinamarca")</f>
        <v>Aut Bogotá - Medellín, Km 0.6 La Vega - Entrada Norte Sn Fco, , , La Vega, Cundinamarca</v>
      </c>
      <c r="G795">
        <v>23</v>
      </c>
      <c r="H795">
        <v>138340</v>
      </c>
      <c r="I795">
        <v>-74.327849999999998</v>
      </c>
      <c r="J795">
        <v>4.9886299999999997</v>
      </c>
      <c r="K795" t="s">
        <v>33</v>
      </c>
      <c r="L795" s="1">
        <v>44614</v>
      </c>
      <c r="M795" s="2" t="s">
        <v>645</v>
      </c>
      <c r="N795" t="s">
        <v>20</v>
      </c>
      <c r="O795" t="s">
        <v>21</v>
      </c>
      <c r="P795" t="s">
        <v>22</v>
      </c>
    </row>
    <row r="796" spans="1:16" x14ac:dyDescent="0.25">
      <c r="A796" t="s">
        <v>16</v>
      </c>
      <c r="B796" t="s">
        <v>17</v>
      </c>
      <c r="C796" t="s">
        <v>18</v>
      </c>
      <c r="D796" s="1">
        <v>44614</v>
      </c>
      <c r="E796" s="2" t="s">
        <v>646</v>
      </c>
      <c r="F796" s="3" t="str">
        <f>HYPERLINK("https://maps.google.com/maps?q=4.9857,-74.32585&amp;ll=4.9857,-74.32585&amp;z=14.75z","Aut Bogotá - Medellín, Km 1 La Vega - Entrada Norte Sn Fco, , Centro 1, La Vega, Cundinamarca")</f>
        <v>Aut Bogotá - Medellín, Km 1 La Vega - Entrada Norte Sn Fco, , Centro 1, La Vega, Cundinamarca</v>
      </c>
      <c r="G796">
        <v>30</v>
      </c>
      <c r="H796">
        <v>138340</v>
      </c>
      <c r="I796">
        <v>-74.325850000000003</v>
      </c>
      <c r="J796">
        <v>4.9856999999999996</v>
      </c>
      <c r="K796" t="s">
        <v>33</v>
      </c>
      <c r="L796" s="1">
        <v>44614</v>
      </c>
      <c r="M796" s="2" t="s">
        <v>646</v>
      </c>
      <c r="N796" t="s">
        <v>20</v>
      </c>
      <c r="O796" t="s">
        <v>21</v>
      </c>
      <c r="P796" t="s">
        <v>22</v>
      </c>
    </row>
    <row r="797" spans="1:16" x14ac:dyDescent="0.25">
      <c r="A797" t="s">
        <v>16</v>
      </c>
      <c r="B797" t="s">
        <v>17</v>
      </c>
      <c r="C797" t="s">
        <v>18</v>
      </c>
      <c r="D797" s="1">
        <v>44614</v>
      </c>
      <c r="E797" s="2" t="s">
        <v>745</v>
      </c>
      <c r="F797" s="3" t="str">
        <f>HYPERLINK("https://maps.google.com/maps?q=4.98837,-74.32498&amp;ll=4.98837,-74.32498&amp;z=14.75z","Aut Bogotá - Medellín, Km 1.63 La Vega - Entrada Norte Sn Fco, , Centro 1, La Vega, Cundinamarca")</f>
        <v>Aut Bogotá - Medellín, Km 1.63 La Vega - Entrada Norte Sn Fco, , Centro 1, La Vega, Cundinamarca</v>
      </c>
      <c r="G797">
        <v>35</v>
      </c>
      <c r="H797">
        <v>138340</v>
      </c>
      <c r="I797">
        <v>-74.324979999999996</v>
      </c>
      <c r="J797">
        <v>4.9883699999999997</v>
      </c>
      <c r="K797" t="s">
        <v>23</v>
      </c>
      <c r="L797" s="1">
        <v>44614</v>
      </c>
      <c r="M797" s="2" t="s">
        <v>745</v>
      </c>
      <c r="N797" t="s">
        <v>20</v>
      </c>
      <c r="O797" t="s">
        <v>21</v>
      </c>
      <c r="P797" t="s">
        <v>22</v>
      </c>
    </row>
    <row r="798" spans="1:16" x14ac:dyDescent="0.25">
      <c r="A798" t="s">
        <v>16</v>
      </c>
      <c r="B798" t="s">
        <v>17</v>
      </c>
      <c r="C798" t="s">
        <v>18</v>
      </c>
      <c r="D798" s="1">
        <v>44614</v>
      </c>
      <c r="E798" s="2" t="s">
        <v>330</v>
      </c>
      <c r="F798" s="3" t="str">
        <f>HYPERLINK("https://maps.google.com/maps?q=4.9919,-74.32256&amp;ll=4.9919,-74.32256&amp;z=14.75z","Aut Bogotá - Medellín, Km 2.52 La Vega - Entrada Norte Sn Fco, , Centro 1, La Vega, Cundinamarca")</f>
        <v>Aut Bogotá - Medellín, Km 2.52 La Vega - Entrada Norte Sn Fco, , Centro 1, La Vega, Cundinamarca</v>
      </c>
      <c r="G798">
        <v>28</v>
      </c>
      <c r="H798">
        <v>138341</v>
      </c>
      <c r="I798">
        <v>-74.322559999999996</v>
      </c>
      <c r="J798">
        <v>4.9919000000000002</v>
      </c>
      <c r="K798" t="s">
        <v>31</v>
      </c>
      <c r="L798" s="1">
        <v>44614</v>
      </c>
      <c r="M798" s="2" t="s">
        <v>330</v>
      </c>
      <c r="N798" t="s">
        <v>20</v>
      </c>
      <c r="O798" t="s">
        <v>21</v>
      </c>
      <c r="P798" t="s">
        <v>22</v>
      </c>
    </row>
    <row r="799" spans="1:16" x14ac:dyDescent="0.25">
      <c r="A799" t="s">
        <v>16</v>
      </c>
      <c r="B799" t="s">
        <v>17</v>
      </c>
      <c r="C799" t="s">
        <v>18</v>
      </c>
      <c r="D799" s="1">
        <v>44614</v>
      </c>
      <c r="E799" s="2" t="s">
        <v>746</v>
      </c>
      <c r="F799" s="3" t="str">
        <f>HYPERLINK("https://maps.google.com/maps?q=4.98897,-74.32375&amp;ll=4.98897,-74.32375&amp;z=14.75z","Aut Bogotá - Medellín, Km 8.56 Entrada Sur Sn Fco - La Vega, , Centro 1, La Vega, Cundinamarca")</f>
        <v>Aut Bogotá - Medellín, Km 8.56 Entrada Sur Sn Fco - La Vega, , Centro 1, La Vega, Cundinamarca</v>
      </c>
      <c r="G799">
        <v>21</v>
      </c>
      <c r="H799">
        <v>138342</v>
      </c>
      <c r="I799">
        <v>-74.323750000000004</v>
      </c>
      <c r="J799">
        <v>4.9889700000000001</v>
      </c>
      <c r="K799" t="s">
        <v>31</v>
      </c>
      <c r="L799" s="1">
        <v>44614</v>
      </c>
      <c r="M799" s="2" t="s">
        <v>746</v>
      </c>
      <c r="N799" t="s">
        <v>20</v>
      </c>
      <c r="O799" t="s">
        <v>21</v>
      </c>
      <c r="P799" t="s">
        <v>22</v>
      </c>
    </row>
    <row r="800" spans="1:16" x14ac:dyDescent="0.25">
      <c r="A800" t="s">
        <v>16</v>
      </c>
      <c r="B800" t="s">
        <v>17</v>
      </c>
      <c r="C800" t="s">
        <v>18</v>
      </c>
      <c r="D800" s="1">
        <v>44614</v>
      </c>
      <c r="E800" s="2" t="s">
        <v>747</v>
      </c>
      <c r="F800" s="3" t="str">
        <f>HYPERLINK("https://maps.google.com/maps?q=4.98581,-74.3224&amp;ll=4.98581,-74.3224&amp;z=14.75z","Aut Bogotá - Medellín, Km 8.41 Entrada Sur Sn Fco - La Vega, , Centro 1, La Vega, Cundinamarca")</f>
        <v>Aut Bogotá - Medellín, Km 8.41 Entrada Sur Sn Fco - La Vega, , Centro 1, La Vega, Cundinamarca</v>
      </c>
      <c r="G800">
        <v>30</v>
      </c>
      <c r="H800">
        <v>138342</v>
      </c>
      <c r="I800">
        <v>-74.322400000000002</v>
      </c>
      <c r="J800">
        <v>4.9858099999999999</v>
      </c>
      <c r="K800" t="s">
        <v>33</v>
      </c>
      <c r="L800" s="1">
        <v>44614</v>
      </c>
      <c r="M800" s="2" t="s">
        <v>747</v>
      </c>
      <c r="N800" t="s">
        <v>20</v>
      </c>
      <c r="O800" t="s">
        <v>21</v>
      </c>
      <c r="P800" t="s">
        <v>22</v>
      </c>
    </row>
    <row r="801" spans="1:16" x14ac:dyDescent="0.25">
      <c r="A801" t="s">
        <v>16</v>
      </c>
      <c r="B801" t="s">
        <v>17</v>
      </c>
      <c r="C801" t="s">
        <v>18</v>
      </c>
      <c r="D801" s="1">
        <v>44614</v>
      </c>
      <c r="E801" s="2" t="s">
        <v>748</v>
      </c>
      <c r="F801" s="3" t="str">
        <f>HYPERLINK("https://maps.google.com/maps?q=4.98227,-74.32194&amp;ll=4.98227,-74.32194&amp;z=14.75z","Aut Bogotá - Medellín, Km 3.78 La Vega - Entrada Norte Sn Fco, , Centro 1, La Vega, Cundinamarca")</f>
        <v>Aut Bogotá - Medellín, Km 3.78 La Vega - Entrada Norte Sn Fco, , Centro 1, La Vega, Cundinamarca</v>
      </c>
      <c r="G801">
        <v>30</v>
      </c>
      <c r="H801">
        <v>138343</v>
      </c>
      <c r="I801">
        <v>-74.321939999999998</v>
      </c>
      <c r="J801">
        <v>4.9822699999999998</v>
      </c>
      <c r="K801" t="s">
        <v>30</v>
      </c>
      <c r="L801" s="1">
        <v>44614</v>
      </c>
      <c r="M801" s="2" t="s">
        <v>748</v>
      </c>
      <c r="N801" t="s">
        <v>20</v>
      </c>
      <c r="O801" t="s">
        <v>21</v>
      </c>
      <c r="P801" t="s">
        <v>22</v>
      </c>
    </row>
    <row r="802" spans="1:16" x14ac:dyDescent="0.25">
      <c r="A802" t="s">
        <v>16</v>
      </c>
      <c r="B802" t="s">
        <v>17</v>
      </c>
      <c r="C802" t="s">
        <v>18</v>
      </c>
      <c r="D802" s="1">
        <v>44614</v>
      </c>
      <c r="E802" s="2" t="s">
        <v>749</v>
      </c>
      <c r="F802" s="3" t="str">
        <f>HYPERLINK("https://maps.google.com/maps?q=4.97893,-74.3226&amp;ll=4.97893,-74.3226&amp;z=14.75z","Aut Bogotá - Medellín, Km 4.23 La Vega - Entrada Norte Sn Fco, , Centro 1, La Vega, Cundinamarca")</f>
        <v>Aut Bogotá - Medellín, Km 4.23 La Vega - Entrada Norte Sn Fco, , Centro 1, La Vega, Cundinamarca</v>
      </c>
      <c r="G802">
        <v>31</v>
      </c>
      <c r="H802">
        <v>138343</v>
      </c>
      <c r="I802">
        <v>-74.322599999999994</v>
      </c>
      <c r="J802">
        <v>4.9789300000000001</v>
      </c>
      <c r="K802" t="s">
        <v>29</v>
      </c>
      <c r="L802" s="1">
        <v>44614</v>
      </c>
      <c r="M802" s="2" t="s">
        <v>750</v>
      </c>
      <c r="N802" t="s">
        <v>20</v>
      </c>
      <c r="O802" t="s">
        <v>21</v>
      </c>
      <c r="P802" t="s">
        <v>22</v>
      </c>
    </row>
    <row r="803" spans="1:16" x14ac:dyDescent="0.25">
      <c r="A803" t="s">
        <v>16</v>
      </c>
      <c r="B803" t="s">
        <v>17</v>
      </c>
      <c r="C803" t="s">
        <v>18</v>
      </c>
      <c r="D803" s="1">
        <v>44614</v>
      </c>
      <c r="E803" s="2" t="s">
        <v>750</v>
      </c>
      <c r="F803" s="3" t="str">
        <f>HYPERLINK("https://maps.google.com/maps?q=4.9762,-74.32398&amp;ll=4.9762,-74.32398&amp;z=14.75z","Aut Bogotá - Medellín, Km 6.92 Entrada Sur Sn Fco - La Vega, , Centro 1, La Vega, Cundinamarca")</f>
        <v>Aut Bogotá - Medellín, Km 6.92 Entrada Sur Sn Fco - La Vega, , Centro 1, La Vega, Cundinamarca</v>
      </c>
      <c r="G803">
        <v>27</v>
      </c>
      <c r="H803">
        <v>138343</v>
      </c>
      <c r="I803">
        <v>-74.323980000000006</v>
      </c>
      <c r="J803">
        <v>4.9762000000000004</v>
      </c>
      <c r="K803" t="s">
        <v>33</v>
      </c>
      <c r="L803" s="1">
        <v>44614</v>
      </c>
      <c r="M803" s="2" t="s">
        <v>750</v>
      </c>
      <c r="N803" t="s">
        <v>20</v>
      </c>
      <c r="O803" t="s">
        <v>21</v>
      </c>
      <c r="P803" t="s">
        <v>22</v>
      </c>
    </row>
    <row r="804" spans="1:16" x14ac:dyDescent="0.25">
      <c r="A804" t="s">
        <v>16</v>
      </c>
      <c r="B804" t="s">
        <v>17</v>
      </c>
      <c r="C804" t="s">
        <v>18</v>
      </c>
      <c r="D804" s="1">
        <v>44614</v>
      </c>
      <c r="E804" s="2" t="s">
        <v>751</v>
      </c>
      <c r="F804" s="3" t="str">
        <f>HYPERLINK("https://maps.google.com/maps?q=4.9752,-74.32105&amp;ll=4.9752,-74.32105&amp;z=14.75z","Aut Bogotá - Medellín, Km 5.07 La Vega - Entrada Norte Sn Fco, , La Ureles, La Vega, Cundinamarca")</f>
        <v>Aut Bogotá - Medellín, Km 5.07 La Vega - Entrada Norte Sn Fco, , La Ureles, La Vega, Cundinamarca</v>
      </c>
      <c r="G804">
        <v>22</v>
      </c>
      <c r="H804">
        <v>138344</v>
      </c>
      <c r="I804">
        <v>-74.32105</v>
      </c>
      <c r="J804">
        <v>4.9752000000000001</v>
      </c>
      <c r="K804" t="s">
        <v>33</v>
      </c>
      <c r="L804" s="1">
        <v>44614</v>
      </c>
      <c r="M804" s="2" t="s">
        <v>751</v>
      </c>
      <c r="N804" t="s">
        <v>20</v>
      </c>
      <c r="O804" t="s">
        <v>21</v>
      </c>
      <c r="P804" t="s">
        <v>22</v>
      </c>
    </row>
    <row r="805" spans="1:16" x14ac:dyDescent="0.25">
      <c r="A805" t="s">
        <v>16</v>
      </c>
      <c r="B805" t="s">
        <v>17</v>
      </c>
      <c r="C805" t="s">
        <v>18</v>
      </c>
      <c r="D805" s="1">
        <v>44614</v>
      </c>
      <c r="E805" s="2" t="s">
        <v>752</v>
      </c>
      <c r="F805" s="3" t="str">
        <f>HYPERLINK("https://maps.google.com/maps?q=4.97498,-74.31774&amp;ll=4.97498,-74.31774&amp;z=14.75z","Aut Bogotá - Medellín, Km 5.41 La Vega - Entrada Norte Sn Fco, , La Ureles, La Vega, Cundinamarca")</f>
        <v>Aut Bogotá - Medellín, Km 5.41 La Vega - Entrada Norte Sn Fco, , La Ureles, La Vega, Cundinamarca</v>
      </c>
      <c r="G805">
        <v>27</v>
      </c>
      <c r="H805">
        <v>138344</v>
      </c>
      <c r="I805">
        <v>-74.317740000000001</v>
      </c>
      <c r="J805">
        <v>4.9749800000000004</v>
      </c>
      <c r="K805" t="s">
        <v>41</v>
      </c>
      <c r="L805" s="1">
        <v>44614</v>
      </c>
      <c r="M805" s="2" t="s">
        <v>752</v>
      </c>
      <c r="N805" t="s">
        <v>20</v>
      </c>
      <c r="O805" t="s">
        <v>21</v>
      </c>
      <c r="P805" t="s">
        <v>22</v>
      </c>
    </row>
    <row r="806" spans="1:16" x14ac:dyDescent="0.25">
      <c r="A806" t="s">
        <v>16</v>
      </c>
      <c r="B806" t="s">
        <v>17</v>
      </c>
      <c r="C806" t="s">
        <v>18</v>
      </c>
      <c r="D806" s="1">
        <v>44614</v>
      </c>
      <c r="E806" s="2" t="s">
        <v>753</v>
      </c>
      <c r="F806" s="3" t="str">
        <f>HYPERLINK("https://maps.google.com/maps?q=4.97685,-74.31295&amp;ll=4.97685,-74.31295&amp;z=14.75z","Aut Bogotá - Medellín, Km 6 La Vega - Entrada Norte Sn Fco, , La Ureles, La Vega, Cundinamarca")</f>
        <v>Aut Bogotá - Medellín, Km 6 La Vega - Entrada Norte Sn Fco, , La Ureles, La Vega, Cundinamarca</v>
      </c>
      <c r="G806">
        <v>27</v>
      </c>
      <c r="H806">
        <v>138345</v>
      </c>
      <c r="I806">
        <v>-74.312950000000001</v>
      </c>
      <c r="J806">
        <v>4.9768499999999998</v>
      </c>
      <c r="K806" t="s">
        <v>24</v>
      </c>
      <c r="L806" s="1">
        <v>44614</v>
      </c>
      <c r="M806" s="2" t="s">
        <v>753</v>
      </c>
      <c r="N806" t="s">
        <v>20</v>
      </c>
      <c r="O806" t="s">
        <v>21</v>
      </c>
      <c r="P806" t="s">
        <v>22</v>
      </c>
    </row>
    <row r="807" spans="1:16" x14ac:dyDescent="0.25">
      <c r="A807" t="s">
        <v>16</v>
      </c>
      <c r="B807" t="s">
        <v>17</v>
      </c>
      <c r="C807" t="s">
        <v>18</v>
      </c>
      <c r="D807" s="1">
        <v>44614</v>
      </c>
      <c r="E807" s="2" t="s">
        <v>754</v>
      </c>
      <c r="F807" s="3" t="str">
        <f>HYPERLINK("https://maps.google.com/maps?q=4.97808,-74.30949&amp;ll=4.97808,-74.30949&amp;z=14.75z","Aut Bogotá - Medellín, Km 0.28 Entrada Norte Sn Fco - Vda Sabaneta, , Arrayán, La Vega, Cundinamarca")</f>
        <v>Aut Bogotá - Medellín, Km 0.28 Entrada Norte Sn Fco - Vda Sabaneta, , Arrayán, La Vega, Cundinamarca</v>
      </c>
      <c r="G807">
        <v>24</v>
      </c>
      <c r="H807">
        <v>138345</v>
      </c>
      <c r="I807">
        <v>-74.309489999999997</v>
      </c>
      <c r="J807">
        <v>4.9780800000000003</v>
      </c>
      <c r="K807" t="s">
        <v>31</v>
      </c>
      <c r="L807" s="1">
        <v>44614</v>
      </c>
      <c r="M807" s="2" t="s">
        <v>754</v>
      </c>
      <c r="N807" t="s">
        <v>20</v>
      </c>
      <c r="O807" t="s">
        <v>21</v>
      </c>
      <c r="P807" t="s">
        <v>22</v>
      </c>
    </row>
    <row r="808" spans="1:16" x14ac:dyDescent="0.25">
      <c r="A808" t="s">
        <v>16</v>
      </c>
      <c r="B808" t="s">
        <v>17</v>
      </c>
      <c r="C808" t="s">
        <v>18</v>
      </c>
      <c r="D808" s="1">
        <v>44614</v>
      </c>
      <c r="E808" s="2" t="s">
        <v>755</v>
      </c>
      <c r="F808" s="3" t="str">
        <f>HYPERLINK("https://maps.google.com/maps?q=4.97528,-74.31083&amp;ll=4.97528,-74.31083&amp;z=14.75z","Aut Bogotá - Medellín, Km 0.65 Entrada Norte Sn Fco - Vda Sabaneta, , Arrayán, La Vega, Cundinamarca")</f>
        <v>Aut Bogotá - Medellín, Km 0.65 Entrada Norte Sn Fco - Vda Sabaneta, , Arrayán, La Vega, Cundinamarca</v>
      </c>
      <c r="G808">
        <v>24</v>
      </c>
      <c r="H808">
        <v>138346</v>
      </c>
      <c r="I808">
        <v>-74.310829999999996</v>
      </c>
      <c r="J808">
        <v>4.9752799999999997</v>
      </c>
      <c r="K808" t="s">
        <v>29</v>
      </c>
      <c r="L808" s="1">
        <v>44614</v>
      </c>
      <c r="M808" s="2" t="s">
        <v>755</v>
      </c>
      <c r="N808" t="s">
        <v>20</v>
      </c>
      <c r="O808" t="s">
        <v>21</v>
      </c>
      <c r="P808" t="s">
        <v>22</v>
      </c>
    </row>
    <row r="809" spans="1:16" x14ac:dyDescent="0.25">
      <c r="A809" t="s">
        <v>16</v>
      </c>
      <c r="B809" t="s">
        <v>17</v>
      </c>
      <c r="C809" t="s">
        <v>18</v>
      </c>
      <c r="D809" s="1">
        <v>44614</v>
      </c>
      <c r="E809" s="2" t="s">
        <v>756</v>
      </c>
      <c r="F809" s="3" t="str">
        <f>HYPERLINK("https://maps.google.com/maps?q=4.97299,-74.31277&amp;ll=4.97299,-74.31277&amp;z=14.75z","Aut Bogotá - Medellín, Km 1.03 Entrada Norte Sn Fco - Vda Sabaneta, , Arrayán, San Francisco, Cundinamarca")</f>
        <v>Aut Bogotá - Medellín, Km 1.03 Entrada Norte Sn Fco - Vda Sabaneta, , Arrayán, San Francisco, Cundinamarca</v>
      </c>
      <c r="G809">
        <v>24</v>
      </c>
      <c r="H809">
        <v>138346</v>
      </c>
      <c r="I809">
        <v>-74.31277</v>
      </c>
      <c r="J809">
        <v>4.9729900000000002</v>
      </c>
      <c r="K809" t="s">
        <v>30</v>
      </c>
      <c r="L809" s="1">
        <v>44614</v>
      </c>
      <c r="M809" s="2" t="s">
        <v>756</v>
      </c>
      <c r="N809" t="s">
        <v>20</v>
      </c>
      <c r="O809" t="s">
        <v>21</v>
      </c>
      <c r="P809" t="s">
        <v>22</v>
      </c>
    </row>
    <row r="810" spans="1:16" x14ac:dyDescent="0.25">
      <c r="A810" t="s">
        <v>16</v>
      </c>
      <c r="B810" t="s">
        <v>17</v>
      </c>
      <c r="C810" t="s">
        <v>18</v>
      </c>
      <c r="D810" s="1">
        <v>44614</v>
      </c>
      <c r="E810" s="2" t="s">
        <v>757</v>
      </c>
      <c r="F810" s="3" t="str">
        <f>HYPERLINK("https://maps.google.com/maps?q=4.96992,-74.31409&amp;ll=4.96992,-74.31409&amp;z=14.75z","Aut Bogotá - Medellín, Km 1.36 Entrada Norte Sn Fco - Vda Sabaneta, , Arrayán, San Francisco, Cundinamarca")</f>
        <v>Aut Bogotá - Medellín, Km 1.36 Entrada Norte Sn Fco - Vda Sabaneta, , Arrayán, San Francisco, Cundinamarca</v>
      </c>
      <c r="G810">
        <v>28</v>
      </c>
      <c r="H810">
        <v>138346</v>
      </c>
      <c r="I810">
        <v>-74.314089999999993</v>
      </c>
      <c r="J810">
        <v>4.9699200000000001</v>
      </c>
      <c r="K810" t="s">
        <v>31</v>
      </c>
      <c r="L810" s="1">
        <v>44614</v>
      </c>
      <c r="M810" s="2" t="s">
        <v>757</v>
      </c>
      <c r="N810" t="s">
        <v>20</v>
      </c>
      <c r="O810" t="s">
        <v>21</v>
      </c>
      <c r="P810" t="s">
        <v>22</v>
      </c>
    </row>
    <row r="811" spans="1:16" x14ac:dyDescent="0.25">
      <c r="A811" t="s">
        <v>16</v>
      </c>
      <c r="B811" t="s">
        <v>17</v>
      </c>
      <c r="C811" t="s">
        <v>18</v>
      </c>
      <c r="D811" s="1">
        <v>44614</v>
      </c>
      <c r="E811" s="2" t="s">
        <v>758</v>
      </c>
      <c r="F811" s="3" t="str">
        <f>HYPERLINK("https://maps.google.com/maps?q=4.96692,-74.31278&amp;ll=4.96692,-74.31278&amp;z=14.75z","Aut Bogotá - Medellín, Km 3.43 Entrada Sur Sn Fco - La Vega, , Arrayán, San Francisco, Cundinamarca")</f>
        <v>Aut Bogotá - Medellín, Km 3.43 Entrada Sur Sn Fco - La Vega, , Arrayán, San Francisco, Cundinamarca</v>
      </c>
      <c r="G811">
        <v>23</v>
      </c>
      <c r="H811">
        <v>138347</v>
      </c>
      <c r="I811">
        <v>-74.312780000000004</v>
      </c>
      <c r="J811">
        <v>4.96692</v>
      </c>
      <c r="K811" t="s">
        <v>33</v>
      </c>
      <c r="L811" s="1">
        <v>44614</v>
      </c>
      <c r="M811" s="2" t="s">
        <v>758</v>
      </c>
      <c r="N811" t="s">
        <v>20</v>
      </c>
      <c r="O811" t="s">
        <v>21</v>
      </c>
      <c r="P811" t="s">
        <v>22</v>
      </c>
    </row>
    <row r="812" spans="1:16" x14ac:dyDescent="0.25">
      <c r="A812" t="s">
        <v>16</v>
      </c>
      <c r="B812" t="s">
        <v>17</v>
      </c>
      <c r="C812" t="s">
        <v>18</v>
      </c>
      <c r="D812" s="1">
        <v>44614</v>
      </c>
      <c r="E812" s="2" t="s">
        <v>758</v>
      </c>
      <c r="F812" s="3" t="str">
        <f>HYPERLINK("https://maps.google.com/maps?q=4.96451,-74.31056&amp;ll=4.96451,-74.31056&amp;z=14.75z","Aut Bogotá - Medellín, Km 3.18 Entrada Sur Sn Fco - La Vega, , Arrayán, San Francisco, Cundinamarca")</f>
        <v>Aut Bogotá - Medellín, Km 3.18 Entrada Sur Sn Fco - La Vega, , Arrayán, San Francisco, Cundinamarca</v>
      </c>
      <c r="G812">
        <v>26</v>
      </c>
      <c r="H812">
        <v>138347</v>
      </c>
      <c r="I812">
        <v>-74.310559999999995</v>
      </c>
      <c r="J812">
        <v>4.9645099999999998</v>
      </c>
      <c r="K812" t="s">
        <v>33</v>
      </c>
      <c r="L812" s="1">
        <v>44614</v>
      </c>
      <c r="M812" s="2" t="s">
        <v>759</v>
      </c>
      <c r="N812" t="s">
        <v>20</v>
      </c>
      <c r="O812" t="s">
        <v>21</v>
      </c>
      <c r="P812" t="s">
        <v>22</v>
      </c>
    </row>
    <row r="813" spans="1:16" x14ac:dyDescent="0.25">
      <c r="A813" t="s">
        <v>16</v>
      </c>
      <c r="B813" t="s">
        <v>17</v>
      </c>
      <c r="C813" t="s">
        <v>18</v>
      </c>
      <c r="D813" s="1">
        <v>44614</v>
      </c>
      <c r="E813" s="2" t="s">
        <v>759</v>
      </c>
      <c r="F813" s="3" t="str">
        <f>HYPERLINK("https://maps.google.com/maps?q=4.9642,-74.30694&amp;ll=4.9642,-74.30694&amp;z=14.75z","Aut Bogotá - Medellín, Km 2.65 Entrada Norte Sn Fco - Vda Sabaneta, , Arrayán, San Francisco, Cundinamarca")</f>
        <v>Aut Bogotá - Medellín, Km 2.65 Entrada Norte Sn Fco - Vda Sabaneta, , Arrayán, San Francisco, Cundinamarca</v>
      </c>
      <c r="G813">
        <v>31</v>
      </c>
      <c r="H813">
        <v>138348</v>
      </c>
      <c r="I813">
        <v>-74.306939999999997</v>
      </c>
      <c r="J813">
        <v>4.9641999999999999</v>
      </c>
      <c r="K813" t="s">
        <v>33</v>
      </c>
      <c r="L813" s="1">
        <v>44614</v>
      </c>
      <c r="M813" s="2" t="s">
        <v>759</v>
      </c>
      <c r="N813" t="s">
        <v>20</v>
      </c>
      <c r="O813" t="s">
        <v>21</v>
      </c>
      <c r="P813" t="s">
        <v>22</v>
      </c>
    </row>
    <row r="814" spans="1:16" x14ac:dyDescent="0.25">
      <c r="A814" t="s">
        <v>16</v>
      </c>
      <c r="B814" t="s">
        <v>17</v>
      </c>
      <c r="C814" t="s">
        <v>18</v>
      </c>
      <c r="D814" s="1">
        <v>44614</v>
      </c>
      <c r="E814" s="2" t="s">
        <v>760</v>
      </c>
      <c r="F814" s="3" t="str">
        <f>HYPERLINK("https://maps.google.com/maps?q=4.96311,-74.30299&amp;ll=4.96311,-74.30299&amp;z=14.75z","Aut Bogotá - Medellín, Km 3.14 Entrada Norte Sn Fco - Vda Sabaneta, , Arrayán, San Francisco, Cundinamarca")</f>
        <v>Aut Bogotá - Medellín, Km 3.14 Entrada Norte Sn Fco - Vda Sabaneta, , Arrayán, San Francisco, Cundinamarca</v>
      </c>
      <c r="G814">
        <v>29</v>
      </c>
      <c r="H814">
        <v>138348</v>
      </c>
      <c r="I814">
        <v>-74.302989999999994</v>
      </c>
      <c r="J814">
        <v>4.9631100000000004</v>
      </c>
      <c r="K814" t="s">
        <v>33</v>
      </c>
      <c r="L814" s="1">
        <v>44614</v>
      </c>
      <c r="M814" s="2" t="s">
        <v>760</v>
      </c>
      <c r="N814" t="s">
        <v>20</v>
      </c>
      <c r="O814" t="s">
        <v>21</v>
      </c>
      <c r="P814" t="s">
        <v>22</v>
      </c>
    </row>
    <row r="815" spans="1:16" x14ac:dyDescent="0.25">
      <c r="A815" t="s">
        <v>16</v>
      </c>
      <c r="B815" t="s">
        <v>17</v>
      </c>
      <c r="C815" t="s">
        <v>18</v>
      </c>
      <c r="D815" s="1">
        <v>44614</v>
      </c>
      <c r="E815" s="2" t="s">
        <v>301</v>
      </c>
      <c r="F815" s="3" t="str">
        <f>HYPERLINK("https://maps.google.com/maps?q=4.9589,-74.30322&amp;ll=4.9589,-74.30322&amp;z=14.75z","Aut Bogotá - Medellín, Km 3.29 Entrada Norte Sn Fco - Vda Sabaneta, , Arrayán, San Francisco, Cundinamarca")</f>
        <v>Aut Bogotá - Medellín, Km 3.29 Entrada Norte Sn Fco - Vda Sabaneta, , Arrayán, San Francisco, Cundinamarca</v>
      </c>
      <c r="G815">
        <v>29</v>
      </c>
      <c r="H815">
        <v>138348</v>
      </c>
      <c r="I815">
        <v>-74.303219999999996</v>
      </c>
      <c r="J815">
        <v>4.9588999999999999</v>
      </c>
      <c r="K815" t="s">
        <v>31</v>
      </c>
      <c r="L815" s="1">
        <v>44614</v>
      </c>
      <c r="M815" s="2" t="s">
        <v>301</v>
      </c>
      <c r="N815" t="s">
        <v>20</v>
      </c>
      <c r="O815" t="s">
        <v>21</v>
      </c>
      <c r="P815" t="s">
        <v>22</v>
      </c>
    </row>
    <row r="816" spans="1:16" x14ac:dyDescent="0.25">
      <c r="A816" t="s">
        <v>16</v>
      </c>
      <c r="B816" t="s">
        <v>17</v>
      </c>
      <c r="C816" t="s">
        <v>18</v>
      </c>
      <c r="D816" s="1">
        <v>44614</v>
      </c>
      <c r="E816" s="2" t="s">
        <v>761</v>
      </c>
      <c r="F816" s="3" t="str">
        <f>HYPERLINK("https://maps.google.com/maps?q=4.95519,-74.30223&amp;ll=4.95519,-74.30223&amp;z=14.75z","Aut Bogotá - Medellín, Km 4.09 Entrada Norte Sn Fco - Vda Sabaneta, , Arrayán, San Francisco, Cundinamarca")</f>
        <v>Aut Bogotá - Medellín, Km 4.09 Entrada Norte Sn Fco - Vda Sabaneta, , Arrayán, San Francisco, Cundinamarca</v>
      </c>
      <c r="G816">
        <v>29</v>
      </c>
      <c r="H816">
        <v>138349</v>
      </c>
      <c r="I816">
        <v>-74.302229999999994</v>
      </c>
      <c r="J816">
        <v>4.95519</v>
      </c>
      <c r="K816" t="s">
        <v>31</v>
      </c>
      <c r="L816" s="1">
        <v>44614</v>
      </c>
      <c r="M816" s="2" t="s">
        <v>761</v>
      </c>
      <c r="N816" t="s">
        <v>20</v>
      </c>
      <c r="O816" t="s">
        <v>21</v>
      </c>
      <c r="P816" t="s">
        <v>22</v>
      </c>
    </row>
    <row r="817" spans="1:16" x14ac:dyDescent="0.25">
      <c r="A817" t="s">
        <v>16</v>
      </c>
      <c r="B817" t="s">
        <v>17</v>
      </c>
      <c r="C817" t="s">
        <v>18</v>
      </c>
      <c r="D817" s="1">
        <v>44614</v>
      </c>
      <c r="E817" s="2" t="s">
        <v>762</v>
      </c>
      <c r="F817" s="3" t="str">
        <f>HYPERLINK("https://maps.google.com/maps?q=4.95287,-74.29932&amp;ll=4.95287,-74.29932&amp;z=14.75z","Retorno a El Rosal, , La Cumbre, San Francisco, Cundinamarca")</f>
        <v>Retorno a El Rosal, , La Cumbre, San Francisco, Cundinamarca</v>
      </c>
      <c r="G817">
        <v>28</v>
      </c>
      <c r="H817">
        <v>138349</v>
      </c>
      <c r="I817">
        <v>-74.299319999999994</v>
      </c>
      <c r="J817">
        <v>4.9528699999999999</v>
      </c>
      <c r="K817" t="s">
        <v>41</v>
      </c>
      <c r="L817" s="1">
        <v>44614</v>
      </c>
      <c r="M817" s="2" t="s">
        <v>762</v>
      </c>
      <c r="N817" t="s">
        <v>20</v>
      </c>
      <c r="O817" t="s">
        <v>21</v>
      </c>
      <c r="P817" t="s">
        <v>22</v>
      </c>
    </row>
    <row r="818" spans="1:16" x14ac:dyDescent="0.25">
      <c r="A818" t="s">
        <v>16</v>
      </c>
      <c r="B818" t="s">
        <v>17</v>
      </c>
      <c r="C818" t="s">
        <v>18</v>
      </c>
      <c r="D818" s="1">
        <v>44614</v>
      </c>
      <c r="E818" s="2" t="s">
        <v>763</v>
      </c>
      <c r="F818" s="3" t="str">
        <f>HYPERLINK("https://maps.google.com/maps?q=4.95133,-74.29554&amp;ll=4.95133,-74.29554&amp;z=14.75z","Aut Bogotá - Medellín, Km 0.39 Entrada Sur Sn Fco - La Vega, , La Cumbre, San Francisco, Cundinamarca")</f>
        <v>Aut Bogotá - Medellín, Km 0.39 Entrada Sur Sn Fco - La Vega, , La Cumbre, San Francisco, Cundinamarca</v>
      </c>
      <c r="G818">
        <v>31</v>
      </c>
      <c r="H818">
        <v>138350</v>
      </c>
      <c r="I818">
        <v>-74.295540000000003</v>
      </c>
      <c r="J818">
        <v>4.9513299999999996</v>
      </c>
      <c r="K818" t="s">
        <v>33</v>
      </c>
      <c r="L818" s="1">
        <v>44614</v>
      </c>
      <c r="M818" s="2" t="s">
        <v>763</v>
      </c>
      <c r="N818" t="s">
        <v>20</v>
      </c>
      <c r="O818" t="s">
        <v>21</v>
      </c>
      <c r="P818" t="s">
        <v>22</v>
      </c>
    </row>
    <row r="819" spans="1:16" x14ac:dyDescent="0.25">
      <c r="A819" t="s">
        <v>16</v>
      </c>
      <c r="B819" t="s">
        <v>17</v>
      </c>
      <c r="C819" t="s">
        <v>18</v>
      </c>
      <c r="D819" s="1">
        <v>44614</v>
      </c>
      <c r="E819" s="2" t="s">
        <v>764</v>
      </c>
      <c r="F819" s="3" t="str">
        <f>HYPERLINK("https://maps.google.com/maps?q=4.94759,-74.29329&amp;ll=4.94759,-74.29329&amp;z=14.75z","Aut Bogotá - Medellín, Km 5.4 Entrada Norte Sn Fco - Vda Sabaneta, , La Cumbre, San Francisco, Cundinamarca")</f>
        <v>Aut Bogotá - Medellín, Km 5.4 Entrada Norte Sn Fco - Vda Sabaneta, , La Cumbre, San Francisco, Cundinamarca</v>
      </c>
      <c r="G819">
        <v>33</v>
      </c>
      <c r="H819">
        <v>138350</v>
      </c>
      <c r="I819">
        <v>-74.293289999999999</v>
      </c>
      <c r="J819">
        <v>4.9475899999999999</v>
      </c>
      <c r="K819" t="s">
        <v>31</v>
      </c>
      <c r="L819" s="1">
        <v>44614</v>
      </c>
      <c r="M819" s="2" t="s">
        <v>764</v>
      </c>
      <c r="N819" t="s">
        <v>20</v>
      </c>
      <c r="O819" t="s">
        <v>21</v>
      </c>
      <c r="P819" t="s">
        <v>22</v>
      </c>
    </row>
    <row r="820" spans="1:16" x14ac:dyDescent="0.25">
      <c r="A820" t="s">
        <v>16</v>
      </c>
      <c r="B820" t="s">
        <v>17</v>
      </c>
      <c r="C820" t="s">
        <v>18</v>
      </c>
      <c r="D820" s="1">
        <v>44614</v>
      </c>
      <c r="E820" s="2" t="s">
        <v>765</v>
      </c>
      <c r="F820" s="3" t="str">
        <f>HYPERLINK("https://maps.google.com/maps?q=4.94433,-74.29261&amp;ll=4.94433,-74.29261&amp;z=14.75z","Aut Bogotá - Medellín, Km 5.99 Entrada Norte Sn Fco - Vda Sabaneta, , La Cumbre, San Francisco, Cundinamarca")</f>
        <v>Aut Bogotá - Medellín, Km 5.99 Entrada Norte Sn Fco - Vda Sabaneta, , La Cumbre, San Francisco, Cundinamarca</v>
      </c>
      <c r="G820">
        <v>33</v>
      </c>
      <c r="H820">
        <v>138351</v>
      </c>
      <c r="I820">
        <v>-74.292609999999996</v>
      </c>
      <c r="J820">
        <v>4.9443299999999999</v>
      </c>
      <c r="K820" t="s">
        <v>19</v>
      </c>
      <c r="L820" s="1">
        <v>44614</v>
      </c>
      <c r="M820" s="2" t="s">
        <v>765</v>
      </c>
      <c r="N820" t="s">
        <v>20</v>
      </c>
      <c r="O820" t="s">
        <v>21</v>
      </c>
      <c r="P820" t="s">
        <v>22</v>
      </c>
    </row>
    <row r="821" spans="1:16" x14ac:dyDescent="0.25">
      <c r="A821" t="s">
        <v>16</v>
      </c>
      <c r="B821" t="s">
        <v>17</v>
      </c>
      <c r="C821" t="s">
        <v>18</v>
      </c>
      <c r="D821" s="1">
        <v>44614</v>
      </c>
      <c r="E821" s="2" t="s">
        <v>766</v>
      </c>
      <c r="F821" s="3" t="str">
        <f>HYPERLINK("https://maps.google.com/maps?q=4.94838,-74.29616&amp;ll=4.94838,-74.29616&amp;z=14.75z","Aut Bogotá - Medellín, Km 6.55 Entrada Norte Sn Fco - Vda Sabaneta, , La Cumbre, San Francisco, Cundinamarca")</f>
        <v>Aut Bogotá - Medellín, Km 6.55 Entrada Norte Sn Fco - Vda Sabaneta, , La Cumbre, San Francisco, Cundinamarca</v>
      </c>
      <c r="G821">
        <v>40</v>
      </c>
      <c r="H821">
        <v>138351</v>
      </c>
      <c r="I821">
        <v>-74.29616</v>
      </c>
      <c r="J821">
        <v>4.9483800000000002</v>
      </c>
      <c r="K821" t="s">
        <v>19</v>
      </c>
      <c r="L821" s="1">
        <v>44614</v>
      </c>
      <c r="M821" s="2" t="s">
        <v>766</v>
      </c>
      <c r="N821" t="s">
        <v>20</v>
      </c>
      <c r="O821" t="s">
        <v>21</v>
      </c>
      <c r="P821" t="s">
        <v>22</v>
      </c>
    </row>
    <row r="822" spans="1:16" x14ac:dyDescent="0.25">
      <c r="A822" t="s">
        <v>16</v>
      </c>
      <c r="B822" t="s">
        <v>17</v>
      </c>
      <c r="C822" t="s">
        <v>18</v>
      </c>
      <c r="D822" s="1">
        <v>44614</v>
      </c>
      <c r="E822" s="2" t="s">
        <v>767</v>
      </c>
      <c r="F822" s="3" t="str">
        <f>HYPERLINK("https://maps.google.com/maps?q=4.94814,-74.30067&amp;ll=4.94814,-74.30067&amp;z=14.75z","Aut Bogotá - Medellín, Km 7.17 Entrada Norte Sn Fco - Vda Sabaneta, , La Cumbre, San Francisco, Cundinamarca")</f>
        <v>Aut Bogotá - Medellín, Km 7.17 Entrada Norte Sn Fco - Vda Sabaneta, , La Cumbre, San Francisco, Cundinamarca</v>
      </c>
      <c r="G822">
        <v>8</v>
      </c>
      <c r="H822">
        <v>138352</v>
      </c>
      <c r="I822">
        <v>-74.300669999999997</v>
      </c>
      <c r="J822">
        <v>4.9481400000000004</v>
      </c>
      <c r="K822" t="s">
        <v>29</v>
      </c>
      <c r="L822" s="1">
        <v>44614</v>
      </c>
      <c r="M822" s="2" t="s">
        <v>767</v>
      </c>
      <c r="N822" t="s">
        <v>20</v>
      </c>
      <c r="O822" t="s">
        <v>21</v>
      </c>
      <c r="P822" t="s">
        <v>22</v>
      </c>
    </row>
    <row r="823" spans="1:16" x14ac:dyDescent="0.25">
      <c r="A823" t="s">
        <v>16</v>
      </c>
      <c r="B823" t="s">
        <v>17</v>
      </c>
      <c r="C823" t="s">
        <v>18</v>
      </c>
      <c r="D823" s="1">
        <v>44614</v>
      </c>
      <c r="E823" s="2" t="s">
        <v>768</v>
      </c>
      <c r="F823" s="3" t="str">
        <f>HYPERLINK("https://maps.google.com/maps?q=4.94813,-74.3007&amp;ll=4.94813,-74.3007&amp;z=14.75z","Aut Bogotá - Medellín, Km 7.17 Entrada Norte Sn Fco - Vda Sabaneta, , La Cumbre, San Francisco, Cundinamarca")</f>
        <v>Aut Bogotá - Medellín, Km 7.17 Entrada Norte Sn Fco - Vda Sabaneta, , La Cumbre, San Francisco, Cundinamarca</v>
      </c>
      <c r="G823">
        <v>0</v>
      </c>
      <c r="H823">
        <v>138352</v>
      </c>
      <c r="I823">
        <v>-74.300700000000006</v>
      </c>
      <c r="J823">
        <v>4.9481299999999999</v>
      </c>
      <c r="K823" t="s">
        <v>29</v>
      </c>
      <c r="L823" s="1">
        <v>44614</v>
      </c>
      <c r="M823" s="2" t="s">
        <v>768</v>
      </c>
      <c r="N823" t="s">
        <v>20</v>
      </c>
      <c r="O823" t="s">
        <v>21</v>
      </c>
      <c r="P823" t="s">
        <v>22</v>
      </c>
    </row>
    <row r="824" spans="1:16" x14ac:dyDescent="0.25">
      <c r="A824" t="s">
        <v>16</v>
      </c>
      <c r="B824" t="s">
        <v>114</v>
      </c>
      <c r="C824" t="s">
        <v>115</v>
      </c>
      <c r="D824" s="1">
        <v>44614</v>
      </c>
      <c r="E824" s="2" t="s">
        <v>768</v>
      </c>
      <c r="F824" s="3" t="str">
        <f>HYPERLINK("https://maps.google.com/maps?q=4.94813,-74.3007&amp;ll=4.94813,-74.3007&amp;z=14.75z","Aut Bogotá - Medellín, Km 7.17 Entrada Norte Sn Fco - Vda Sabaneta, , La Cumbre, San Francisco, Cundinamarca")</f>
        <v>Aut Bogotá - Medellín, Km 7.17 Entrada Norte Sn Fco - Vda Sabaneta, , La Cumbre, San Francisco, Cundinamarca</v>
      </c>
      <c r="G824">
        <v>0</v>
      </c>
      <c r="H824">
        <v>138352</v>
      </c>
      <c r="I824">
        <v>-74.300700000000006</v>
      </c>
      <c r="J824">
        <v>4.9481299999999999</v>
      </c>
      <c r="K824" t="s">
        <v>29</v>
      </c>
      <c r="L824" s="1">
        <v>44614</v>
      </c>
      <c r="M824" s="2" t="s">
        <v>768</v>
      </c>
      <c r="N824" t="s">
        <v>20</v>
      </c>
      <c r="O824" t="s">
        <v>21</v>
      </c>
      <c r="P824" t="s">
        <v>22</v>
      </c>
    </row>
    <row r="825" spans="1:16" x14ac:dyDescent="0.25">
      <c r="A825" t="s">
        <v>16</v>
      </c>
      <c r="B825" t="s">
        <v>114</v>
      </c>
      <c r="C825" t="s">
        <v>186</v>
      </c>
      <c r="D825" s="1">
        <v>44614</v>
      </c>
      <c r="E825" s="2" t="s">
        <v>647</v>
      </c>
      <c r="F825" s="3" t="str">
        <f>HYPERLINK("https://maps.google.com/maps?q=4.94809,-74.30065&amp;ll=4.94809,-74.30065&amp;z=14.75z","Aut Bogotá - Medellín, Km 7.17 Entrada Norte Sn Fco - Vda Sabaneta, , La Cumbre, San Francisco, Cundinamarca")</f>
        <v>Aut Bogotá - Medellín, Km 7.17 Entrada Norte Sn Fco - Vda Sabaneta, , La Cumbre, San Francisco, Cundinamarca</v>
      </c>
      <c r="G825">
        <v>0</v>
      </c>
      <c r="H825">
        <v>138352</v>
      </c>
      <c r="I825">
        <v>-74.300650000000005</v>
      </c>
      <c r="J825">
        <v>4.9480899999999997</v>
      </c>
      <c r="K825" t="s">
        <v>29</v>
      </c>
      <c r="L825" s="1">
        <v>44614</v>
      </c>
      <c r="M825" s="2" t="s">
        <v>647</v>
      </c>
      <c r="N825" t="s">
        <v>20</v>
      </c>
      <c r="O825" t="s">
        <v>21</v>
      </c>
      <c r="P825" t="s">
        <v>22</v>
      </c>
    </row>
    <row r="826" spans="1:16" x14ac:dyDescent="0.25">
      <c r="A826" t="s">
        <v>16</v>
      </c>
      <c r="B826" t="s">
        <v>114</v>
      </c>
      <c r="C826" t="s">
        <v>186</v>
      </c>
      <c r="D826" s="1">
        <v>44615</v>
      </c>
      <c r="E826" s="2" t="s">
        <v>26</v>
      </c>
      <c r="F826" s="3" t="str">
        <f>HYPERLINK("https://maps.google.com/maps?q=4.94814,-74.30072&amp;ll=4.94814,-74.30072&amp;z=14.75z","Aut Bogotá - Medellín, Km 7.21 Entrada Norte Sn Fco - Vda Sabaneta, , La Cumbre, San Francisco, Cundinamarca")</f>
        <v>Aut Bogotá - Medellín, Km 7.21 Entrada Norte Sn Fco - Vda Sabaneta, , La Cumbre, San Francisco, Cundinamarca</v>
      </c>
      <c r="G826">
        <v>0</v>
      </c>
      <c r="H826">
        <v>138352</v>
      </c>
      <c r="I826">
        <v>-74.300719999999998</v>
      </c>
      <c r="J826">
        <v>4.9481400000000004</v>
      </c>
      <c r="K826" t="s">
        <v>29</v>
      </c>
      <c r="L826" s="1">
        <v>44615</v>
      </c>
      <c r="M826" s="2" t="s">
        <v>26</v>
      </c>
      <c r="N826" t="s">
        <v>20</v>
      </c>
      <c r="O826" t="s">
        <v>21</v>
      </c>
      <c r="P826" t="s">
        <v>22</v>
      </c>
    </row>
    <row r="827" spans="1:16" x14ac:dyDescent="0.25">
      <c r="A827" t="s">
        <v>16</v>
      </c>
      <c r="B827" t="s">
        <v>114</v>
      </c>
      <c r="C827" t="s">
        <v>27</v>
      </c>
      <c r="D827" s="1">
        <v>44615</v>
      </c>
      <c r="E827" s="2" t="s">
        <v>32</v>
      </c>
      <c r="F827" s="3" t="str">
        <f>HYPERLINK("https://maps.google.com/maps?q=4.94815,-74.30072&amp;ll=4.94815,-74.30072&amp;z=14.75z","Aut Bogotá - Medellín, Km 7.17 Entrada Norte Sn Fco - Vda Sabaneta, , La Cumbre, San Francisco, Cundinamarca")</f>
        <v>Aut Bogotá - Medellín, Km 7.17 Entrada Norte Sn Fco - Vda Sabaneta, , La Cumbre, San Francisco, Cundinamarca</v>
      </c>
      <c r="G827">
        <v>0</v>
      </c>
      <c r="H827">
        <v>138352</v>
      </c>
      <c r="I827">
        <v>-74.300719999999998</v>
      </c>
      <c r="J827">
        <v>4.94815</v>
      </c>
      <c r="K827" t="s">
        <v>29</v>
      </c>
      <c r="L827" s="1">
        <v>44615</v>
      </c>
      <c r="M827" s="2" t="s">
        <v>32</v>
      </c>
      <c r="N827" t="s">
        <v>20</v>
      </c>
      <c r="O827" t="s">
        <v>21</v>
      </c>
      <c r="P827" t="s">
        <v>22</v>
      </c>
    </row>
    <row r="828" spans="1:16" x14ac:dyDescent="0.25">
      <c r="A828" t="s">
        <v>16</v>
      </c>
      <c r="B828" t="s">
        <v>114</v>
      </c>
      <c r="C828" t="s">
        <v>186</v>
      </c>
      <c r="D828" s="1">
        <v>44615</v>
      </c>
      <c r="E828" s="2" t="s">
        <v>35</v>
      </c>
      <c r="F828" s="3" t="str">
        <f>HYPERLINK("https://maps.google.com/maps?q=4.94813,-74.3007&amp;ll=4.94813,-74.3007&amp;z=14.75z","Aut Bogotá - Medellín, Km 7.17 Entrada Norte Sn Fco - Vda Sabaneta, , La Cumbre, San Francisco, Cundinamarca")</f>
        <v>Aut Bogotá - Medellín, Km 7.17 Entrada Norte Sn Fco - Vda Sabaneta, , La Cumbre, San Francisco, Cundinamarca</v>
      </c>
      <c r="G828">
        <v>0</v>
      </c>
      <c r="H828">
        <v>138352</v>
      </c>
      <c r="I828">
        <v>-74.300700000000006</v>
      </c>
      <c r="J828">
        <v>4.9481299999999999</v>
      </c>
      <c r="K828" t="s">
        <v>29</v>
      </c>
      <c r="L828" s="1">
        <v>44615</v>
      </c>
      <c r="M828" s="2" t="s">
        <v>35</v>
      </c>
      <c r="N828" t="s">
        <v>20</v>
      </c>
      <c r="O828" t="s">
        <v>21</v>
      </c>
      <c r="P828" t="s">
        <v>22</v>
      </c>
    </row>
    <row r="829" spans="1:16" x14ac:dyDescent="0.25">
      <c r="A829" t="s">
        <v>16</v>
      </c>
      <c r="B829" t="s">
        <v>94</v>
      </c>
      <c r="C829" t="s">
        <v>116</v>
      </c>
      <c r="D829" s="1">
        <v>44615</v>
      </c>
      <c r="E829" s="2" t="s">
        <v>36</v>
      </c>
      <c r="F829" s="3" t="str">
        <f>HYPERLINK("https://maps.google.com/maps?q=4.94811,-74.30069&amp;ll=4.94811,-74.30069&amp;z=14.75z","Aut Bogotá - Medellín, Km 7.17 Entrada Norte Sn Fco - Vda Sabaneta, , La Cumbre, San Francisco, Cundinamarca")</f>
        <v>Aut Bogotá - Medellín, Km 7.17 Entrada Norte Sn Fco - Vda Sabaneta, , La Cumbre, San Francisco, Cundinamarca</v>
      </c>
      <c r="G829">
        <v>0</v>
      </c>
      <c r="H829">
        <v>138352</v>
      </c>
      <c r="I829">
        <v>-74.300690000000003</v>
      </c>
      <c r="J829">
        <v>4.9481099999999998</v>
      </c>
      <c r="K829" t="s">
        <v>29</v>
      </c>
      <c r="L829" s="1">
        <v>44615</v>
      </c>
      <c r="M829" s="2" t="s">
        <v>36</v>
      </c>
      <c r="N829" t="s">
        <v>20</v>
      </c>
      <c r="O829" t="s">
        <v>21</v>
      </c>
      <c r="P829" t="s">
        <v>22</v>
      </c>
    </row>
    <row r="830" spans="1:16" x14ac:dyDescent="0.25">
      <c r="A830" t="s">
        <v>16</v>
      </c>
      <c r="B830" t="s">
        <v>94</v>
      </c>
      <c r="C830" t="s">
        <v>18</v>
      </c>
      <c r="D830" s="1">
        <v>44615</v>
      </c>
      <c r="E830" s="2" t="s">
        <v>37</v>
      </c>
      <c r="F830" s="3" t="str">
        <f>HYPERLINK("https://maps.google.com/maps?q=4.94811,-74.30069&amp;ll=4.94811,-74.30069&amp;z=14.75z","Aut Bogotá - Medellín, Km 7.17 Entrada Norte Sn Fco - Vda Sabaneta, , La Cumbre, San Francisco, Cundinamarca")</f>
        <v>Aut Bogotá - Medellín, Km 7.17 Entrada Norte Sn Fco - Vda Sabaneta, , La Cumbre, San Francisco, Cundinamarca</v>
      </c>
      <c r="G830">
        <v>0</v>
      </c>
      <c r="H830">
        <v>138352</v>
      </c>
      <c r="I830">
        <v>-74.300690000000003</v>
      </c>
      <c r="J830">
        <v>4.9481099999999998</v>
      </c>
      <c r="K830" t="s">
        <v>29</v>
      </c>
      <c r="L830" s="1">
        <v>44615</v>
      </c>
      <c r="M830" s="2" t="s">
        <v>37</v>
      </c>
      <c r="N830" t="s">
        <v>20</v>
      </c>
      <c r="O830" t="s">
        <v>21</v>
      </c>
      <c r="P830" t="s">
        <v>22</v>
      </c>
    </row>
    <row r="831" spans="1:16" x14ac:dyDescent="0.25">
      <c r="A831" t="s">
        <v>16</v>
      </c>
      <c r="B831" t="s">
        <v>17</v>
      </c>
      <c r="C831" t="s">
        <v>18</v>
      </c>
      <c r="D831" s="1">
        <v>44615</v>
      </c>
      <c r="E831" s="2" t="s">
        <v>38</v>
      </c>
      <c r="F831" s="3" t="str">
        <f>HYPERLINK("https://maps.google.com/maps?q=4.94802,-74.30263&amp;ll=4.94802,-74.30263&amp;z=14.75z","Aut Bogotá - Medellín, Km 7.29 Entrada Norte Sn Fco - Vda Sabaneta, , La Cumbre, San Francisco, Cundinamarca")</f>
        <v>Aut Bogotá - Medellín, Km 7.29 Entrada Norte Sn Fco - Vda Sabaneta, , La Cumbre, San Francisco, Cundinamarca</v>
      </c>
      <c r="G831">
        <v>24</v>
      </c>
      <c r="H831">
        <v>138352</v>
      </c>
      <c r="I831">
        <v>-74.302629999999994</v>
      </c>
      <c r="J831">
        <v>4.9480199999999996</v>
      </c>
      <c r="K831" t="s">
        <v>29</v>
      </c>
      <c r="L831" s="1">
        <v>44615</v>
      </c>
      <c r="M831" s="2" t="s">
        <v>38</v>
      </c>
      <c r="N831" t="s">
        <v>20</v>
      </c>
      <c r="O831" t="s">
        <v>21</v>
      </c>
      <c r="P831" t="s">
        <v>22</v>
      </c>
    </row>
    <row r="832" spans="1:16" x14ac:dyDescent="0.25">
      <c r="A832" t="s">
        <v>16</v>
      </c>
      <c r="B832" t="s">
        <v>17</v>
      </c>
      <c r="C832" t="s">
        <v>18</v>
      </c>
      <c r="D832" s="1">
        <v>44615</v>
      </c>
      <c r="E832" s="2" t="s">
        <v>39</v>
      </c>
      <c r="F832" s="3" t="str">
        <f>HYPERLINK("https://maps.google.com/maps?q=4.94629,-74.30539&amp;ll=4.94629,-74.30539&amp;z=14.75z","Aut Bogotá - Medellín, Km 7.74 Entrada Norte Sn Fco - Vda Sabaneta, , La Cumbre, San Francisco, Cundinamarca")</f>
        <v>Aut Bogotá - Medellín, Km 7.74 Entrada Norte Sn Fco - Vda Sabaneta, , La Cumbre, San Francisco, Cundinamarca</v>
      </c>
      <c r="G832">
        <v>22</v>
      </c>
      <c r="H832">
        <v>138353</v>
      </c>
      <c r="I832">
        <v>-74.305390000000003</v>
      </c>
      <c r="J832">
        <v>4.9462900000000003</v>
      </c>
      <c r="K832" t="s">
        <v>30</v>
      </c>
      <c r="L832" s="1">
        <v>44615</v>
      </c>
      <c r="M832" s="2" t="s">
        <v>39</v>
      </c>
      <c r="N832" t="s">
        <v>20</v>
      </c>
      <c r="O832" t="s">
        <v>21</v>
      </c>
      <c r="P832" t="s">
        <v>22</v>
      </c>
    </row>
    <row r="833" spans="1:16" x14ac:dyDescent="0.25">
      <c r="A833" t="s">
        <v>16</v>
      </c>
      <c r="B833" t="s">
        <v>17</v>
      </c>
      <c r="C833" t="s">
        <v>193</v>
      </c>
      <c r="D833" s="1">
        <v>44615</v>
      </c>
      <c r="E833" s="2" t="s">
        <v>39</v>
      </c>
      <c r="F833" s="3" t="str">
        <f>HYPERLINK("https://maps.google.com/maps?q=4.94556,-74.30599&amp;ll=4.94556,-74.30599&amp;z=14.75z","Aut Bogotá - Medellín, Km 7.9 Entrada Norte Sn Fco - Vda Sabaneta, , La Cumbre, San Francisco, Cundinamarca")</f>
        <v>Aut Bogotá - Medellín, Km 7.9 Entrada Norte Sn Fco - Vda Sabaneta, , La Cumbre, San Francisco, Cundinamarca</v>
      </c>
      <c r="G833">
        <v>23</v>
      </c>
      <c r="H833">
        <v>138353</v>
      </c>
      <c r="I833">
        <v>-74.305989999999994</v>
      </c>
      <c r="J833">
        <v>4.9455600000000004</v>
      </c>
      <c r="K833" t="s">
        <v>30</v>
      </c>
      <c r="L833" s="1">
        <v>44615</v>
      </c>
      <c r="M833" s="2" t="s">
        <v>39</v>
      </c>
      <c r="N833" t="s">
        <v>20</v>
      </c>
      <c r="O833" t="s">
        <v>21</v>
      </c>
      <c r="P833" t="s">
        <v>22</v>
      </c>
    </row>
    <row r="834" spans="1:16" x14ac:dyDescent="0.25">
      <c r="A834" t="s">
        <v>16</v>
      </c>
      <c r="B834" t="s">
        <v>17</v>
      </c>
      <c r="C834" t="s">
        <v>193</v>
      </c>
      <c r="D834" s="1">
        <v>44615</v>
      </c>
      <c r="E834" s="2" t="s">
        <v>39</v>
      </c>
      <c r="F834" s="3" t="str">
        <f>HYPERLINK("https://maps.google.com/maps?q=4.94497,-74.3063&amp;ll=4.94497,-74.3063&amp;z=14.75z","Aut Bogotá - Medellín, Km 7.93 Entrada Norte Sn Fco - Vda Sabaneta, , Chuscal, La Vega, Cundinamarca")</f>
        <v>Aut Bogotá - Medellín, Km 7.93 Entrada Norte Sn Fco - Vda Sabaneta, , Chuscal, La Vega, Cundinamarca</v>
      </c>
      <c r="G834">
        <v>24</v>
      </c>
      <c r="H834">
        <v>138353</v>
      </c>
      <c r="I834">
        <v>-74.306299999999993</v>
      </c>
      <c r="J834">
        <v>4.9449699999999996</v>
      </c>
      <c r="K834" t="s">
        <v>30</v>
      </c>
      <c r="L834" s="1">
        <v>44615</v>
      </c>
      <c r="M834" s="2" t="s">
        <v>39</v>
      </c>
      <c r="N834" t="s">
        <v>20</v>
      </c>
      <c r="O834" t="s">
        <v>21</v>
      </c>
      <c r="P834" t="s">
        <v>22</v>
      </c>
    </row>
    <row r="835" spans="1:16" x14ac:dyDescent="0.25">
      <c r="A835" t="s">
        <v>16</v>
      </c>
      <c r="B835" t="s">
        <v>114</v>
      </c>
      <c r="C835" t="s">
        <v>193</v>
      </c>
      <c r="D835" s="1">
        <v>44615</v>
      </c>
      <c r="E835" s="2" t="s">
        <v>39</v>
      </c>
      <c r="F835" s="3" t="str">
        <f>HYPERLINK("https://maps.google.com/maps?q=4.94457,-74.30652&amp;ll=4.94457,-74.30652&amp;z=14.75z","Aut Bogotá - Medellín, Km 7.93 Entrada Norte Sn Fco - Vda Sabaneta, , Chuscal, La Vega, Cundinamarca")</f>
        <v>Aut Bogotá - Medellín, Km 7.93 Entrada Norte Sn Fco - Vda Sabaneta, , Chuscal, La Vega, Cundinamarca</v>
      </c>
      <c r="G835">
        <v>6</v>
      </c>
      <c r="H835">
        <v>138353</v>
      </c>
      <c r="I835">
        <v>-74.306520000000006</v>
      </c>
      <c r="J835">
        <v>4.9445699999999997</v>
      </c>
      <c r="K835" t="s">
        <v>30</v>
      </c>
      <c r="L835" s="1">
        <v>44615</v>
      </c>
      <c r="M835" s="2" t="s">
        <v>39</v>
      </c>
      <c r="N835" t="s">
        <v>20</v>
      </c>
      <c r="O835" t="s">
        <v>21</v>
      </c>
      <c r="P835" t="s">
        <v>22</v>
      </c>
    </row>
    <row r="836" spans="1:16" x14ac:dyDescent="0.25">
      <c r="A836" t="s">
        <v>16</v>
      </c>
      <c r="B836" t="s">
        <v>114</v>
      </c>
      <c r="C836" t="s">
        <v>193</v>
      </c>
      <c r="D836" s="1">
        <v>44615</v>
      </c>
      <c r="E836" s="2" t="s">
        <v>39</v>
      </c>
      <c r="F836" s="3" t="str">
        <f>HYPERLINK("https://maps.google.com/maps?q=4.94457,-74.30652&amp;ll=4.94457,-74.30652&amp;z=14.75z","Aut Bogotá - Medellín, Km 7.93 Entrada Norte Sn Fco - Vda Sabaneta, , Chuscal, La Vega, Cundinamarca")</f>
        <v>Aut Bogotá - Medellín, Km 7.93 Entrada Norte Sn Fco - Vda Sabaneta, , Chuscal, La Vega, Cundinamarca</v>
      </c>
      <c r="G836">
        <v>6</v>
      </c>
      <c r="H836">
        <v>138353</v>
      </c>
      <c r="I836">
        <v>-74.306520000000006</v>
      </c>
      <c r="J836">
        <v>4.9445699999999997</v>
      </c>
      <c r="K836" t="s">
        <v>30</v>
      </c>
      <c r="L836" s="1">
        <v>44615</v>
      </c>
      <c r="M836" s="2" t="s">
        <v>39</v>
      </c>
      <c r="N836" t="s">
        <v>20</v>
      </c>
      <c r="O836" t="s">
        <v>21</v>
      </c>
      <c r="P836" t="s">
        <v>22</v>
      </c>
    </row>
    <row r="837" spans="1:16" x14ac:dyDescent="0.25">
      <c r="A837" t="s">
        <v>16</v>
      </c>
      <c r="B837" t="s">
        <v>114</v>
      </c>
      <c r="C837" t="s">
        <v>115</v>
      </c>
      <c r="D837" s="1">
        <v>44615</v>
      </c>
      <c r="E837" s="2" t="s">
        <v>39</v>
      </c>
      <c r="F837" s="3" t="str">
        <f>HYPERLINK("https://maps.google.com/maps?q=4.94455,-74.30653&amp;ll=4.94455,-74.30653&amp;z=14.75z","Aut Bogotá - Medellín, Km 7.93 Entrada Norte Sn Fco - Vda Sabaneta, , Chuscal, La Vega, Cundinamarca")</f>
        <v>Aut Bogotá - Medellín, Km 7.93 Entrada Norte Sn Fco - Vda Sabaneta, , Chuscal, La Vega, Cundinamarca</v>
      </c>
      <c r="G837">
        <v>2</v>
      </c>
      <c r="H837">
        <v>138353</v>
      </c>
      <c r="I837">
        <v>-74.306529999999995</v>
      </c>
      <c r="J837">
        <v>4.9445499999999996</v>
      </c>
      <c r="K837" t="s">
        <v>30</v>
      </c>
      <c r="L837" s="1">
        <v>44615</v>
      </c>
      <c r="M837" s="2" t="s">
        <v>39</v>
      </c>
      <c r="N837" t="s">
        <v>20</v>
      </c>
      <c r="O837" t="s">
        <v>21</v>
      </c>
      <c r="P837" t="s">
        <v>22</v>
      </c>
    </row>
    <row r="838" spans="1:16" x14ac:dyDescent="0.25">
      <c r="A838" t="s">
        <v>16</v>
      </c>
      <c r="B838" t="s">
        <v>114</v>
      </c>
      <c r="C838" t="s">
        <v>193</v>
      </c>
      <c r="D838" s="1">
        <v>44615</v>
      </c>
      <c r="E838" s="2" t="s">
        <v>40</v>
      </c>
      <c r="F838" s="3" t="str">
        <f>HYPERLINK("https://maps.google.com/maps?q=4.94455,-74.30653&amp;ll=4.94455,-74.30653&amp;z=14.75z","Aut Bogotá - Medellín, Km 7.93 Entrada Norte Sn Fco - Vda Sabaneta, , Chuscal, La Vega, Cundinamarca")</f>
        <v>Aut Bogotá - Medellín, Km 7.93 Entrada Norte Sn Fco - Vda Sabaneta, , Chuscal, La Vega, Cundinamarca</v>
      </c>
      <c r="G838">
        <v>0</v>
      </c>
      <c r="H838">
        <v>138353</v>
      </c>
      <c r="I838">
        <v>-74.306529999999995</v>
      </c>
      <c r="J838">
        <v>4.9445499999999996</v>
      </c>
      <c r="K838" t="s">
        <v>30</v>
      </c>
      <c r="L838" s="1">
        <v>44615</v>
      </c>
      <c r="M838" s="2" t="s">
        <v>40</v>
      </c>
      <c r="N838" t="s">
        <v>20</v>
      </c>
      <c r="O838" t="s">
        <v>21</v>
      </c>
      <c r="P838" t="s">
        <v>22</v>
      </c>
    </row>
    <row r="839" spans="1:16" x14ac:dyDescent="0.25">
      <c r="A839" t="s">
        <v>16</v>
      </c>
      <c r="B839" t="s">
        <v>114</v>
      </c>
      <c r="C839" t="s">
        <v>193</v>
      </c>
      <c r="D839" s="1">
        <v>44615</v>
      </c>
      <c r="E839" s="2" t="s">
        <v>40</v>
      </c>
      <c r="F839" s="3" t="str">
        <f>HYPERLINK("https://maps.google.com/maps?q=4.94455,-74.30653&amp;ll=4.94455,-74.30653&amp;z=14.75z","Aut Bogotá - Medellín, Km 7.93 Entrada Norte Sn Fco - Vda Sabaneta, , Chuscal, La Vega, Cundinamarca")</f>
        <v>Aut Bogotá - Medellín, Km 7.93 Entrada Norte Sn Fco - Vda Sabaneta, , Chuscal, La Vega, Cundinamarca</v>
      </c>
      <c r="G839">
        <v>0</v>
      </c>
      <c r="H839">
        <v>138353</v>
      </c>
      <c r="I839">
        <v>-74.306529999999995</v>
      </c>
      <c r="J839">
        <v>4.9445499999999996</v>
      </c>
      <c r="K839" t="s">
        <v>30</v>
      </c>
      <c r="L839" s="1">
        <v>44615</v>
      </c>
      <c r="M839" s="2" t="s">
        <v>40</v>
      </c>
      <c r="N839" t="s">
        <v>20</v>
      </c>
      <c r="O839" t="s">
        <v>21</v>
      </c>
      <c r="P839" t="s">
        <v>22</v>
      </c>
    </row>
    <row r="840" spans="1:16" x14ac:dyDescent="0.25">
      <c r="A840" t="s">
        <v>16</v>
      </c>
      <c r="B840" t="s">
        <v>114</v>
      </c>
      <c r="C840" t="s">
        <v>193</v>
      </c>
      <c r="D840" s="1">
        <v>44615</v>
      </c>
      <c r="E840" s="2" t="s">
        <v>40</v>
      </c>
      <c r="F840" s="3" t="str">
        <f>HYPERLINK("https://maps.google.com/maps?q=4.94455,-74.30655&amp;ll=4.94455,-74.30655&amp;z=14.75z","Aut Bogotá - Medellín, Km 7.93 Entrada Norte Sn Fco - Vda Sabaneta, , Chuscal, La Vega, Cundinamarca")</f>
        <v>Aut Bogotá - Medellín, Km 7.93 Entrada Norte Sn Fco - Vda Sabaneta, , Chuscal, La Vega, Cundinamarca</v>
      </c>
      <c r="G840">
        <v>0</v>
      </c>
      <c r="H840">
        <v>138353</v>
      </c>
      <c r="I840">
        <v>-74.306550000000001</v>
      </c>
      <c r="J840">
        <v>4.9445499999999996</v>
      </c>
      <c r="K840" t="s">
        <v>30</v>
      </c>
      <c r="L840" s="1">
        <v>44615</v>
      </c>
      <c r="M840" s="2" t="s">
        <v>40</v>
      </c>
      <c r="N840" t="s">
        <v>20</v>
      </c>
      <c r="O840" t="s">
        <v>21</v>
      </c>
      <c r="P840" t="s">
        <v>22</v>
      </c>
    </row>
    <row r="841" spans="1:16" x14ac:dyDescent="0.25">
      <c r="A841" t="s">
        <v>16</v>
      </c>
      <c r="B841" t="s">
        <v>94</v>
      </c>
      <c r="C841" t="s">
        <v>116</v>
      </c>
      <c r="D841" s="1">
        <v>44615</v>
      </c>
      <c r="E841" s="2" t="s">
        <v>42</v>
      </c>
      <c r="F841" s="3" t="str">
        <f>HYPERLINK("https://maps.google.com/maps?q=4.94449,-74.3066&amp;ll=4.94449,-74.3066&amp;z=14.75z","Aut Bogotá - Medellín, Km 7.93 Entrada Norte Sn Fco - Vda Sabaneta, , Chuscal, La Vega, Cundinamarca")</f>
        <v>Aut Bogotá - Medellín, Km 7.93 Entrada Norte Sn Fco - Vda Sabaneta, , Chuscal, La Vega, Cundinamarca</v>
      </c>
      <c r="G841">
        <v>0</v>
      </c>
      <c r="H841">
        <v>138353</v>
      </c>
      <c r="I841">
        <v>-74.306600000000003</v>
      </c>
      <c r="J841">
        <v>4.9444900000000001</v>
      </c>
      <c r="K841" t="s">
        <v>30</v>
      </c>
      <c r="L841" s="1">
        <v>44615</v>
      </c>
      <c r="M841" s="2" t="s">
        <v>42</v>
      </c>
      <c r="N841" t="s">
        <v>20</v>
      </c>
      <c r="O841" t="s">
        <v>21</v>
      </c>
      <c r="P841" t="s">
        <v>22</v>
      </c>
    </row>
    <row r="842" spans="1:16" x14ac:dyDescent="0.25">
      <c r="A842" t="s">
        <v>16</v>
      </c>
      <c r="B842" t="s">
        <v>94</v>
      </c>
      <c r="C842" t="s">
        <v>18</v>
      </c>
      <c r="D842" s="1">
        <v>44615</v>
      </c>
      <c r="E842" s="2" t="s">
        <v>43</v>
      </c>
      <c r="F842" s="3" t="str">
        <f>HYPERLINK("https://maps.google.com/maps?q=4.94449,-74.3066&amp;ll=4.94449,-74.3066&amp;z=14.75z","Aut Bogotá - Medellín, Km 7.93 Entrada Norte Sn Fco - Vda Sabaneta, , Chuscal, La Vega, Cundinamarca")</f>
        <v>Aut Bogotá - Medellín, Km 7.93 Entrada Norte Sn Fco - Vda Sabaneta, , Chuscal, La Vega, Cundinamarca</v>
      </c>
      <c r="G842">
        <v>1</v>
      </c>
      <c r="H842">
        <v>138353</v>
      </c>
      <c r="I842">
        <v>-74.306600000000003</v>
      </c>
      <c r="J842">
        <v>4.9444900000000001</v>
      </c>
      <c r="K842" t="s">
        <v>31</v>
      </c>
      <c r="L842" s="1">
        <v>44615</v>
      </c>
      <c r="M842" s="2" t="s">
        <v>43</v>
      </c>
      <c r="N842" t="s">
        <v>20</v>
      </c>
      <c r="O842" t="s">
        <v>21</v>
      </c>
      <c r="P842" t="s">
        <v>22</v>
      </c>
    </row>
    <row r="843" spans="1:16" x14ac:dyDescent="0.25">
      <c r="A843" t="s">
        <v>16</v>
      </c>
      <c r="B843" t="s">
        <v>94</v>
      </c>
      <c r="C843" t="s">
        <v>18</v>
      </c>
      <c r="D843" s="1">
        <v>44615</v>
      </c>
      <c r="E843" s="2" t="s">
        <v>44</v>
      </c>
      <c r="F843" s="3" t="str">
        <f>HYPERLINK("https://maps.google.com/maps?q=4.94448,-74.30661&amp;ll=4.94448,-74.30661&amp;z=14.75z","Aut Bogotá - Medellín, Km 7.93 Entrada Norte Sn Fco - Vda Sabaneta, , Chuscal, La Vega, Cundinamarca")</f>
        <v>Aut Bogotá - Medellín, Km 7.93 Entrada Norte Sn Fco - Vda Sabaneta, , Chuscal, La Vega, Cundinamarca</v>
      </c>
      <c r="G843">
        <v>0</v>
      </c>
      <c r="H843">
        <v>138353</v>
      </c>
      <c r="I843">
        <v>-74.306610000000006</v>
      </c>
      <c r="J843">
        <v>4.9444800000000004</v>
      </c>
      <c r="K843" t="s">
        <v>31</v>
      </c>
      <c r="L843" s="1">
        <v>44615</v>
      </c>
      <c r="M843" s="2" t="s">
        <v>44</v>
      </c>
      <c r="N843" t="s">
        <v>20</v>
      </c>
      <c r="O843" t="s">
        <v>21</v>
      </c>
      <c r="P843" t="s">
        <v>22</v>
      </c>
    </row>
    <row r="844" spans="1:16" x14ac:dyDescent="0.25">
      <c r="A844" t="s">
        <v>16</v>
      </c>
      <c r="B844" t="s">
        <v>17</v>
      </c>
      <c r="C844" t="s">
        <v>18</v>
      </c>
      <c r="D844" s="1">
        <v>44615</v>
      </c>
      <c r="E844" s="2" t="s">
        <v>45</v>
      </c>
      <c r="F844" s="3" t="str">
        <f>HYPERLINK("https://maps.google.com/maps?q=4.94361,-74.30703&amp;ll=4.94361,-74.30703&amp;z=14.75z","Aut Bogotá - Medellín, Km 8.14 Entrada Norte Sn Fco - Vda Sabaneta, , Chuscal, La Vega, Cundinamarca")</f>
        <v>Aut Bogotá - Medellín, Km 8.14 Entrada Norte Sn Fco - Vda Sabaneta, , Chuscal, La Vega, Cundinamarca</v>
      </c>
      <c r="G844">
        <v>28</v>
      </c>
      <c r="H844">
        <v>138353</v>
      </c>
      <c r="I844">
        <v>-74.307029999999997</v>
      </c>
      <c r="J844">
        <v>4.9436099999999996</v>
      </c>
      <c r="K844" t="s">
        <v>30</v>
      </c>
      <c r="L844" s="1">
        <v>44615</v>
      </c>
      <c r="M844" s="2" t="s">
        <v>46</v>
      </c>
      <c r="N844" t="s">
        <v>20</v>
      </c>
      <c r="O844" t="s">
        <v>21</v>
      </c>
      <c r="P844" t="s">
        <v>22</v>
      </c>
    </row>
    <row r="845" spans="1:16" x14ac:dyDescent="0.25">
      <c r="A845" t="s">
        <v>16</v>
      </c>
      <c r="B845" t="s">
        <v>17</v>
      </c>
      <c r="C845" t="s">
        <v>18</v>
      </c>
      <c r="D845" s="1">
        <v>44615</v>
      </c>
      <c r="E845" s="2" t="s">
        <v>46</v>
      </c>
      <c r="F845" s="3" t="str">
        <f>HYPERLINK("https://maps.google.com/maps?q=4.94374,-74.30992&amp;ll=4.94374,-74.30992&amp;z=14.75z","Aut Bogotá - Medellín, Km 8.41 Entrada Norte Sn Fco - Vda Sabaneta, , Chuscal, La Vega, Cundinamarca")</f>
        <v>Aut Bogotá - Medellín, Km 8.41 Entrada Norte Sn Fco - Vda Sabaneta, , Chuscal, La Vega, Cundinamarca</v>
      </c>
      <c r="G845">
        <v>19</v>
      </c>
      <c r="H845">
        <v>138353</v>
      </c>
      <c r="I845">
        <v>-74.309920000000005</v>
      </c>
      <c r="J845">
        <v>4.94374</v>
      </c>
      <c r="K845" t="s">
        <v>29</v>
      </c>
      <c r="L845" s="1">
        <v>44615</v>
      </c>
      <c r="M845" s="2" t="s">
        <v>46</v>
      </c>
      <c r="N845" t="s">
        <v>20</v>
      </c>
      <c r="O845" t="s">
        <v>21</v>
      </c>
      <c r="P845" t="s">
        <v>22</v>
      </c>
    </row>
    <row r="846" spans="1:16" x14ac:dyDescent="0.25">
      <c r="A846" t="s">
        <v>16</v>
      </c>
      <c r="B846" t="s">
        <v>17</v>
      </c>
      <c r="C846" t="s">
        <v>18</v>
      </c>
      <c r="D846" s="1">
        <v>44615</v>
      </c>
      <c r="E846" s="2" t="s">
        <v>47</v>
      </c>
      <c r="F846" s="3" t="str">
        <f>HYPERLINK("https://maps.google.com/maps?q=4.94247,-74.31086&amp;ll=4.94247,-74.31086&amp;z=14.75z","Aut Bogotá - Medellín, Km 19.03 El Rosal - Entrada Sur Sn Fco, , Chuscal, La Vega, Cundinamarca")</f>
        <v>Aut Bogotá - Medellín, Km 19.03 El Rosal - Entrada Sur Sn Fco, , Chuscal, La Vega, Cundinamarca</v>
      </c>
      <c r="G846">
        <v>24</v>
      </c>
      <c r="H846">
        <v>138354</v>
      </c>
      <c r="I846">
        <v>-74.310860000000005</v>
      </c>
      <c r="J846">
        <v>4.9424700000000001</v>
      </c>
      <c r="K846" t="s">
        <v>41</v>
      </c>
      <c r="L846" s="1">
        <v>44615</v>
      </c>
      <c r="M846" s="2" t="s">
        <v>47</v>
      </c>
      <c r="N846" t="s">
        <v>20</v>
      </c>
      <c r="O846" t="s">
        <v>21</v>
      </c>
      <c r="P846" t="s">
        <v>22</v>
      </c>
    </row>
    <row r="847" spans="1:16" x14ac:dyDescent="0.25">
      <c r="A847" t="s">
        <v>16</v>
      </c>
      <c r="B847" t="s">
        <v>17</v>
      </c>
      <c r="C847" t="s">
        <v>18</v>
      </c>
      <c r="D847" s="1">
        <v>44615</v>
      </c>
      <c r="E847" s="2" t="s">
        <v>48</v>
      </c>
      <c r="F847" s="3" t="str">
        <f>HYPERLINK("https://maps.google.com/maps?q=4.94046,-74.3089&amp;ll=4.94046,-74.3089&amp;z=14.75z","Aut Bogotá - Medellín, Km 9.25 Entrada Norte Sn Fco - Vda Sabaneta, , Libertad, La Vega, Cundinamarca")</f>
        <v>Aut Bogotá - Medellín, Km 9.25 Entrada Norte Sn Fco - Vda Sabaneta, , Libertad, La Vega, Cundinamarca</v>
      </c>
      <c r="G847">
        <v>24</v>
      </c>
      <c r="H847">
        <v>138354</v>
      </c>
      <c r="I847">
        <v>-74.308899999999994</v>
      </c>
      <c r="J847">
        <v>4.9404599999999999</v>
      </c>
      <c r="K847" t="s">
        <v>31</v>
      </c>
      <c r="L847" s="1">
        <v>44615</v>
      </c>
      <c r="M847" s="2" t="s">
        <v>48</v>
      </c>
      <c r="N847" t="s">
        <v>20</v>
      </c>
      <c r="O847" t="s">
        <v>21</v>
      </c>
      <c r="P847" t="s">
        <v>22</v>
      </c>
    </row>
    <row r="848" spans="1:16" x14ac:dyDescent="0.25">
      <c r="A848" t="s">
        <v>16</v>
      </c>
      <c r="B848" t="s">
        <v>17</v>
      </c>
      <c r="C848" t="s">
        <v>18</v>
      </c>
      <c r="D848" s="1">
        <v>44615</v>
      </c>
      <c r="E848" s="2" t="s">
        <v>48</v>
      </c>
      <c r="F848" s="3" t="str">
        <f>HYPERLINK("https://maps.google.com/maps?q=4.93693,-74.30763&amp;ll=4.93693,-74.30763&amp;z=14.75z","Aut Bogotá - Medellín, Km 9.63 Entrada Norte Sn Fco - Vda Sabaneta, , Chuscal, La Vega, Cundinamarca")</f>
        <v>Aut Bogotá - Medellín, Km 9.63 Entrada Norte Sn Fco - Vda Sabaneta, , Chuscal, La Vega, Cundinamarca</v>
      </c>
      <c r="G848">
        <v>28</v>
      </c>
      <c r="H848">
        <v>138354</v>
      </c>
      <c r="I848">
        <v>-74.307630000000003</v>
      </c>
      <c r="J848">
        <v>4.9369300000000003</v>
      </c>
      <c r="K848" t="s">
        <v>31</v>
      </c>
      <c r="L848" s="1">
        <v>44615</v>
      </c>
      <c r="M848" s="2" t="s">
        <v>49</v>
      </c>
      <c r="N848" t="s">
        <v>20</v>
      </c>
      <c r="O848" t="s">
        <v>21</v>
      </c>
      <c r="P848" t="s">
        <v>22</v>
      </c>
    </row>
    <row r="849" spans="1:16" x14ac:dyDescent="0.25">
      <c r="A849" t="s">
        <v>16</v>
      </c>
      <c r="B849" t="s">
        <v>17</v>
      </c>
      <c r="C849" t="s">
        <v>18</v>
      </c>
      <c r="D849" s="1">
        <v>44615</v>
      </c>
      <c r="E849" s="2" t="s">
        <v>49</v>
      </c>
      <c r="F849" s="3" t="str">
        <f>HYPERLINK("https://maps.google.com/maps?q=4.93392,-74.30537&amp;ll=4.93392,-74.30537&amp;z=14.75z","Aut Bogotá - Medellín, Km 17.59 El Rosal - Entrada Sur Sn Fco, , Chuscal, La Vega, Cundinamarca")</f>
        <v>Aut Bogotá - Medellín, Km 17.59 El Rosal - Entrada Sur Sn Fco, , Chuscal, La Vega, Cundinamarca</v>
      </c>
      <c r="G849">
        <v>33</v>
      </c>
      <c r="H849">
        <v>138355</v>
      </c>
      <c r="I849">
        <v>-74.305369999999996</v>
      </c>
      <c r="J849">
        <v>4.9339199999999996</v>
      </c>
      <c r="K849" t="s">
        <v>33</v>
      </c>
      <c r="L849" s="1">
        <v>44615</v>
      </c>
      <c r="M849" s="2" t="s">
        <v>50</v>
      </c>
      <c r="N849" t="s">
        <v>20</v>
      </c>
      <c r="O849" t="s">
        <v>21</v>
      </c>
      <c r="P849" t="s">
        <v>22</v>
      </c>
    </row>
    <row r="850" spans="1:16" x14ac:dyDescent="0.25">
      <c r="A850" t="s">
        <v>16</v>
      </c>
      <c r="B850" t="s">
        <v>17</v>
      </c>
      <c r="C850" t="s">
        <v>18</v>
      </c>
      <c r="D850" s="1">
        <v>44615</v>
      </c>
      <c r="E850" s="2" t="s">
        <v>50</v>
      </c>
      <c r="F850" s="3" t="str">
        <f>HYPERLINK("https://maps.google.com/maps?q=4.93201,-74.30005&amp;ll=4.93201,-74.30005&amp;z=14.75z","Aut Bogotá - Medellín, Km 10.77 Entrada Norte Sn Fco - Vda Sabaneta, , Chuscal, La Vega, Cundinamarca")</f>
        <v>Aut Bogotá - Medellín, Km 10.77 Entrada Norte Sn Fco - Vda Sabaneta, , Chuscal, La Vega, Cundinamarca</v>
      </c>
      <c r="G850">
        <v>48</v>
      </c>
      <c r="H850">
        <v>138355</v>
      </c>
      <c r="I850">
        <v>-74.300049999999999</v>
      </c>
      <c r="J850">
        <v>4.93201</v>
      </c>
      <c r="K850" t="s">
        <v>33</v>
      </c>
      <c r="L850" s="1">
        <v>44615</v>
      </c>
      <c r="M850" s="2" t="s">
        <v>50</v>
      </c>
      <c r="N850" t="s">
        <v>20</v>
      </c>
      <c r="O850" t="s">
        <v>21</v>
      </c>
      <c r="P850" t="s">
        <v>22</v>
      </c>
    </row>
    <row r="851" spans="1:16" x14ac:dyDescent="0.25">
      <c r="A851" t="s">
        <v>16</v>
      </c>
      <c r="B851" t="s">
        <v>17</v>
      </c>
      <c r="C851" t="s">
        <v>18</v>
      </c>
      <c r="D851" s="1">
        <v>44615</v>
      </c>
      <c r="E851" s="2" t="s">
        <v>51</v>
      </c>
      <c r="F851" s="3" t="str">
        <f>HYPERLINK("https://maps.google.com/maps?q=4.92917,-74.29457&amp;ll=4.92917,-74.29457&amp;z=14.75z","Aut Bogotá - Medellín, Km 11.49 Entrada Norte Sn Fco - Vda Sabaneta, , Chuscal, La Vega, Cundinamarca")</f>
        <v>Aut Bogotá - Medellín, Km 11.49 Entrada Norte Sn Fco - Vda Sabaneta, , Chuscal, La Vega, Cundinamarca</v>
      </c>
      <c r="G851">
        <v>39</v>
      </c>
      <c r="H851">
        <v>138356</v>
      </c>
      <c r="I851">
        <v>-74.294569999999993</v>
      </c>
      <c r="J851">
        <v>4.9291700000000001</v>
      </c>
      <c r="K851" t="s">
        <v>41</v>
      </c>
      <c r="L851" s="1">
        <v>44615</v>
      </c>
      <c r="M851" s="2" t="s">
        <v>52</v>
      </c>
      <c r="N851" t="s">
        <v>20</v>
      </c>
      <c r="O851" t="s">
        <v>21</v>
      </c>
      <c r="P851" t="s">
        <v>22</v>
      </c>
    </row>
    <row r="852" spans="1:16" x14ac:dyDescent="0.25">
      <c r="A852" t="s">
        <v>16</v>
      </c>
      <c r="B852" t="s">
        <v>17</v>
      </c>
      <c r="C852" t="s">
        <v>18</v>
      </c>
      <c r="D852" s="1">
        <v>44615</v>
      </c>
      <c r="E852" s="2" t="s">
        <v>52</v>
      </c>
      <c r="F852" s="3" t="str">
        <f>HYPERLINK("https://maps.google.com/maps?q=4.92716,-74.29176&amp;ll=4.92716,-74.29176&amp;z=14.75z","Aut Bogotá - Medellín, Km 15.84 El Rosal - Entrada Sur Sn Fco, , Chuscal, La Vega, Cundinamarca")</f>
        <v>Aut Bogotá - Medellín, Km 15.84 El Rosal - Entrada Sur Sn Fco, , Chuscal, La Vega, Cundinamarca</v>
      </c>
      <c r="G852">
        <v>42</v>
      </c>
      <c r="H852">
        <v>138357</v>
      </c>
      <c r="I852">
        <v>-74.291759999999996</v>
      </c>
      <c r="J852">
        <v>4.9271599999999998</v>
      </c>
      <c r="K852" t="s">
        <v>31</v>
      </c>
      <c r="L852" s="1">
        <v>44615</v>
      </c>
      <c r="M852" s="2" t="s">
        <v>52</v>
      </c>
      <c r="N852" t="s">
        <v>20</v>
      </c>
      <c r="O852" t="s">
        <v>21</v>
      </c>
      <c r="P852" t="s">
        <v>22</v>
      </c>
    </row>
    <row r="853" spans="1:16" x14ac:dyDescent="0.25">
      <c r="A853" t="s">
        <v>16</v>
      </c>
      <c r="B853" t="s">
        <v>17</v>
      </c>
      <c r="C853" t="s">
        <v>18</v>
      </c>
      <c r="D853" s="1">
        <v>44615</v>
      </c>
      <c r="E853" s="2" t="s">
        <v>53</v>
      </c>
      <c r="F853" s="3" t="str">
        <f>HYPERLINK("https://maps.google.com/maps?q=4.9181,-74.29358&amp;ll=4.9181,-74.29358&amp;z=14.75z","Aut Bogotá - Medellín, Km 13.36 Entrada Norte Sn Fco - Vda Sabaneta, , Sabaneta, La Vega, Cundinamarca")</f>
        <v>Aut Bogotá - Medellín, Km 13.36 Entrada Norte Sn Fco - Vda Sabaneta, , Sabaneta, La Vega, Cundinamarca</v>
      </c>
      <c r="G853">
        <v>26</v>
      </c>
      <c r="H853">
        <v>138358</v>
      </c>
      <c r="I853">
        <v>-74.293580000000006</v>
      </c>
      <c r="J853">
        <v>4.9180999999999999</v>
      </c>
      <c r="K853" t="s">
        <v>30</v>
      </c>
      <c r="L853" s="1">
        <v>44615</v>
      </c>
      <c r="M853" s="2" t="s">
        <v>53</v>
      </c>
      <c r="N853" t="s">
        <v>20</v>
      </c>
      <c r="O853" t="s">
        <v>21</v>
      </c>
      <c r="P853" t="s">
        <v>22</v>
      </c>
    </row>
    <row r="854" spans="1:16" x14ac:dyDescent="0.25">
      <c r="A854" t="s">
        <v>16</v>
      </c>
      <c r="B854" t="s">
        <v>17</v>
      </c>
      <c r="C854" t="s">
        <v>18</v>
      </c>
      <c r="D854" s="1">
        <v>44615</v>
      </c>
      <c r="E854" s="2" t="s">
        <v>54</v>
      </c>
      <c r="F854" s="3" t="str">
        <f>HYPERLINK("https://maps.google.com/maps?q=4.91501,-74.29383&amp;ll=4.91501,-74.29383&amp;z=14.75z","Aut Bogotá - Medellín, Km 13.71 Entrada Norte Sn Fco - Vda Sabaneta, , Sabaneta, La Vega, Cundinamarca")</f>
        <v>Aut Bogotá - Medellín, Km 13.71 Entrada Norte Sn Fco - Vda Sabaneta, , Sabaneta, La Vega, Cundinamarca</v>
      </c>
      <c r="G854">
        <v>24</v>
      </c>
      <c r="H854">
        <v>138358</v>
      </c>
      <c r="I854">
        <v>-74.29383</v>
      </c>
      <c r="J854">
        <v>4.9150099999999997</v>
      </c>
      <c r="K854" t="s">
        <v>30</v>
      </c>
      <c r="L854" s="1">
        <v>44615</v>
      </c>
      <c r="M854" s="2" t="s">
        <v>54</v>
      </c>
      <c r="N854" t="s">
        <v>20</v>
      </c>
      <c r="O854" t="s">
        <v>21</v>
      </c>
      <c r="P854" t="s">
        <v>22</v>
      </c>
    </row>
    <row r="855" spans="1:16" x14ac:dyDescent="0.25">
      <c r="A855" t="s">
        <v>16</v>
      </c>
      <c r="B855" t="s">
        <v>17</v>
      </c>
      <c r="C855" t="s">
        <v>18</v>
      </c>
      <c r="D855" s="1">
        <v>44615</v>
      </c>
      <c r="E855" s="2" t="s">
        <v>55</v>
      </c>
      <c r="F855" s="3" t="str">
        <f>HYPERLINK("https://maps.google.com/maps?q=4.91312,-74.29669&amp;ll=4.91312,-74.29669&amp;z=14.75z","Aut Bogotá - Medellín, Km 13.93 Entrada Norte Sn Fco - Vda Sabaneta, , Sabaneta, La Vega, Cundinamarca")</f>
        <v>Aut Bogotá - Medellín, Km 13.93 Entrada Norte Sn Fco - Vda Sabaneta, , Sabaneta, La Vega, Cundinamarca</v>
      </c>
      <c r="G855">
        <v>21</v>
      </c>
      <c r="H855">
        <v>138359</v>
      </c>
      <c r="I855">
        <v>-74.296689999999998</v>
      </c>
      <c r="J855">
        <v>4.9131200000000002</v>
      </c>
      <c r="K855" t="s">
        <v>29</v>
      </c>
      <c r="L855" s="1">
        <v>44615</v>
      </c>
      <c r="M855" s="2" t="s">
        <v>55</v>
      </c>
      <c r="N855" t="s">
        <v>20</v>
      </c>
      <c r="O855" t="s">
        <v>21</v>
      </c>
      <c r="P855" t="s">
        <v>22</v>
      </c>
    </row>
    <row r="856" spans="1:16" x14ac:dyDescent="0.25">
      <c r="A856" t="s">
        <v>16</v>
      </c>
      <c r="B856" t="s">
        <v>17</v>
      </c>
      <c r="C856" t="s">
        <v>18</v>
      </c>
      <c r="D856" s="1">
        <v>44615</v>
      </c>
      <c r="E856" s="2" t="s">
        <v>56</v>
      </c>
      <c r="F856" s="3" t="str">
        <f>HYPERLINK("https://maps.google.com/maps?q=4.91179,-74.29814&amp;ll=4.91179,-74.29814&amp;z=14.75z","Aut Bogotá - Medellín, Km 14.31 Entrada Norte Sn Fco - Vda Sabaneta, , Sabaneta, La Vega, Cundinamarca")</f>
        <v>Aut Bogotá - Medellín, Km 14.31 Entrada Norte Sn Fco - Vda Sabaneta, , Sabaneta, La Vega, Cundinamarca</v>
      </c>
      <c r="G856">
        <v>18</v>
      </c>
      <c r="H856">
        <v>138359</v>
      </c>
      <c r="I856">
        <v>-74.298140000000004</v>
      </c>
      <c r="J856">
        <v>4.9117899999999999</v>
      </c>
      <c r="K856" t="s">
        <v>30</v>
      </c>
      <c r="L856" s="1">
        <v>44615</v>
      </c>
      <c r="M856" s="2" t="s">
        <v>56</v>
      </c>
      <c r="N856" t="s">
        <v>20</v>
      </c>
      <c r="O856" t="s">
        <v>21</v>
      </c>
      <c r="P856" t="s">
        <v>22</v>
      </c>
    </row>
    <row r="857" spans="1:16" x14ac:dyDescent="0.25">
      <c r="A857" t="s">
        <v>16</v>
      </c>
      <c r="B857" t="s">
        <v>17</v>
      </c>
      <c r="C857" t="s">
        <v>18</v>
      </c>
      <c r="D857" s="1">
        <v>44615</v>
      </c>
      <c r="E857" s="2" t="s">
        <v>57</v>
      </c>
      <c r="F857" s="3" t="str">
        <f>HYPERLINK("https://maps.google.com/maps?q=4.90889,-74.30078&amp;ll=4.90889,-74.30078&amp;z=14.75z","Aut Bogotá - Medellín, Km 14.77 Entrada Norte Sn Fco - Vda Sabaneta, , Sabaneta, La Vega, Cundinamarca")</f>
        <v>Aut Bogotá - Medellín, Km 14.77 Entrada Norte Sn Fco - Vda Sabaneta, , Sabaneta, La Vega, Cundinamarca</v>
      </c>
      <c r="G857">
        <v>27</v>
      </c>
      <c r="H857">
        <v>138359</v>
      </c>
      <c r="I857">
        <v>-74.300780000000003</v>
      </c>
      <c r="J857">
        <v>4.9088900000000004</v>
      </c>
      <c r="K857" t="s">
        <v>29</v>
      </c>
      <c r="L857" s="1">
        <v>44615</v>
      </c>
      <c r="M857" s="2" t="s">
        <v>57</v>
      </c>
      <c r="N857" t="s">
        <v>20</v>
      </c>
      <c r="O857" t="s">
        <v>21</v>
      </c>
      <c r="P857" t="s">
        <v>22</v>
      </c>
    </row>
    <row r="858" spans="1:16" x14ac:dyDescent="0.25">
      <c r="A858" t="s">
        <v>16</v>
      </c>
      <c r="B858" t="s">
        <v>17</v>
      </c>
      <c r="C858" t="s">
        <v>18</v>
      </c>
      <c r="D858" s="1">
        <v>44615</v>
      </c>
      <c r="E858" s="2" t="s">
        <v>58</v>
      </c>
      <c r="F858" s="3" t="str">
        <f>HYPERLINK("https://maps.google.com/maps?q=4.90845,-74.30288&amp;ll=4.90845,-74.30288&amp;z=14.75z","Aut Bogotá - Medellín, Km 15.01 Entrada Norte Sn Fco - Vda Sabaneta, , Sabaneta, La Vega, Cundinamarca")</f>
        <v>Aut Bogotá - Medellín, Km 15.01 Entrada Norte Sn Fco - Vda Sabaneta, , Sabaneta, La Vega, Cundinamarca</v>
      </c>
      <c r="G858">
        <v>0</v>
      </c>
      <c r="H858">
        <v>138360</v>
      </c>
      <c r="I858">
        <v>-74.302880000000002</v>
      </c>
      <c r="J858">
        <v>4.9084500000000002</v>
      </c>
      <c r="K858" t="s">
        <v>30</v>
      </c>
      <c r="L858" s="1">
        <v>44615</v>
      </c>
      <c r="M858" s="2" t="s">
        <v>58</v>
      </c>
      <c r="N858" t="s">
        <v>20</v>
      </c>
      <c r="O858" t="s">
        <v>21</v>
      </c>
      <c r="P858" t="s">
        <v>22</v>
      </c>
    </row>
    <row r="859" spans="1:16" x14ac:dyDescent="0.25">
      <c r="A859" t="s">
        <v>16</v>
      </c>
      <c r="B859" t="s">
        <v>17</v>
      </c>
      <c r="C859" t="s">
        <v>18</v>
      </c>
      <c r="D859" s="1">
        <v>44615</v>
      </c>
      <c r="E859" s="2" t="s">
        <v>59</v>
      </c>
      <c r="F859" s="3" t="str">
        <f>HYPERLINK("https://maps.google.com/maps?q=4.90659,-74.30444&amp;ll=4.90659,-74.30444&amp;z=14.75z","Aut Bogotá - Medellín, Km 15.24 Entrada Norte Sn Fco - Vda Sabaneta, , Sabaneta, La Vega, Cundinamarca")</f>
        <v>Aut Bogotá - Medellín, Km 15.24 Entrada Norte Sn Fco - Vda Sabaneta, , Sabaneta, La Vega, Cundinamarca</v>
      </c>
      <c r="G859">
        <v>22</v>
      </c>
      <c r="H859">
        <v>138360</v>
      </c>
      <c r="I859">
        <v>-74.30444</v>
      </c>
      <c r="J859">
        <v>4.9065899999999996</v>
      </c>
      <c r="K859" t="s">
        <v>30</v>
      </c>
      <c r="L859" s="1">
        <v>44615</v>
      </c>
      <c r="M859" s="2" t="s">
        <v>59</v>
      </c>
      <c r="N859" t="s">
        <v>20</v>
      </c>
      <c r="O859" t="s">
        <v>21</v>
      </c>
      <c r="P859" t="s">
        <v>22</v>
      </c>
    </row>
    <row r="860" spans="1:16" x14ac:dyDescent="0.25">
      <c r="A860" t="s">
        <v>16</v>
      </c>
      <c r="B860" t="s">
        <v>17</v>
      </c>
      <c r="C860" t="s">
        <v>18</v>
      </c>
      <c r="D860" s="1">
        <v>44615</v>
      </c>
      <c r="E860" s="2" t="s">
        <v>60</v>
      </c>
      <c r="F860" s="3" t="str">
        <f>HYPERLINK("https://maps.google.com/maps?q=4.90403,-74.30704&amp;ll=4.90403,-74.30704&amp;z=14.75z","Aut Bogotá - Medellín, Km 15.72 Entrada Norte Sn Fco - Vda Sabaneta, , Sabaneta, La Vega, Cundinamarca")</f>
        <v>Aut Bogotá - Medellín, Km 15.72 Entrada Norte Sn Fco - Vda Sabaneta, , Sabaneta, La Vega, Cundinamarca</v>
      </c>
      <c r="G860">
        <v>32</v>
      </c>
      <c r="H860">
        <v>138360</v>
      </c>
      <c r="I860">
        <v>-74.307040000000001</v>
      </c>
      <c r="J860">
        <v>4.9040299999999997</v>
      </c>
      <c r="K860" t="s">
        <v>29</v>
      </c>
      <c r="L860" s="1">
        <v>44615</v>
      </c>
      <c r="M860" s="2" t="s">
        <v>60</v>
      </c>
      <c r="N860" t="s">
        <v>20</v>
      </c>
      <c r="O860" t="s">
        <v>21</v>
      </c>
      <c r="P860" t="s">
        <v>22</v>
      </c>
    </row>
    <row r="861" spans="1:16" x14ac:dyDescent="0.25">
      <c r="A861" t="s">
        <v>16</v>
      </c>
      <c r="B861" t="s">
        <v>17</v>
      </c>
      <c r="C861" t="s">
        <v>18</v>
      </c>
      <c r="D861" s="1">
        <v>44615</v>
      </c>
      <c r="E861" s="2" t="s">
        <v>61</v>
      </c>
      <c r="F861" s="3" t="str">
        <f>HYPERLINK("https://maps.google.com/maps?q=4.90412,-74.31041&amp;ll=4.90412,-74.31041&amp;z=14.75z","Aut Bogotá - Medellín, Km 16.11 Entrada Norte Sn Fco - Vda Sabaneta, , Sabaneta, La Vega, Cundinamarca")</f>
        <v>Aut Bogotá - Medellín, Km 16.11 Entrada Norte Sn Fco - Vda Sabaneta, , Sabaneta, La Vega, Cundinamarca</v>
      </c>
      <c r="G861">
        <v>25</v>
      </c>
      <c r="H861">
        <v>138361</v>
      </c>
      <c r="I861">
        <v>-74.310410000000005</v>
      </c>
      <c r="J861">
        <v>4.9041199999999998</v>
      </c>
      <c r="K861" t="s">
        <v>29</v>
      </c>
      <c r="L861" s="1">
        <v>44615</v>
      </c>
      <c r="M861" s="2" t="s">
        <v>61</v>
      </c>
      <c r="N861" t="s">
        <v>20</v>
      </c>
      <c r="O861" t="s">
        <v>21</v>
      </c>
      <c r="P861" t="s">
        <v>22</v>
      </c>
    </row>
    <row r="862" spans="1:16" x14ac:dyDescent="0.25">
      <c r="A862" t="s">
        <v>16</v>
      </c>
      <c r="B862" t="s">
        <v>17</v>
      </c>
      <c r="C862" t="s">
        <v>18</v>
      </c>
      <c r="D862" s="1">
        <v>44615</v>
      </c>
      <c r="E862" s="2" t="s">
        <v>61</v>
      </c>
      <c r="F862" s="3" t="str">
        <f>HYPERLINK("https://maps.google.com/maps?q=4.90029,-74.3111&amp;ll=4.90029,-74.3111&amp;z=14.75z","Aut Bogotá - Medellín, Km 0.7 Vda Sabaneta - El Rosal, , El Dintel, La Vega, Cundinamarca")</f>
        <v>Aut Bogotá - Medellín, Km 0.7 Vda Sabaneta - El Rosal, , El Dintel, La Vega, Cundinamarca</v>
      </c>
      <c r="G862">
        <v>39</v>
      </c>
      <c r="H862">
        <v>138361</v>
      </c>
      <c r="I862">
        <v>-74.311099999999996</v>
      </c>
      <c r="J862">
        <v>4.90029</v>
      </c>
      <c r="K862" t="s">
        <v>31</v>
      </c>
      <c r="L862" s="1">
        <v>44615</v>
      </c>
      <c r="M862" s="2" t="s">
        <v>62</v>
      </c>
      <c r="N862" t="s">
        <v>20</v>
      </c>
      <c r="O862" t="s">
        <v>21</v>
      </c>
      <c r="P862" t="s">
        <v>22</v>
      </c>
    </row>
    <row r="863" spans="1:16" x14ac:dyDescent="0.25">
      <c r="A863" t="s">
        <v>16</v>
      </c>
      <c r="B863" t="s">
        <v>17</v>
      </c>
      <c r="C863" t="s">
        <v>18</v>
      </c>
      <c r="D863" s="1">
        <v>44615</v>
      </c>
      <c r="E863" s="2" t="s">
        <v>62</v>
      </c>
      <c r="F863" s="3" t="str">
        <f>HYPERLINK("https://maps.google.com/maps?q=4.89656,-74.31175&amp;ll=4.89656,-74.31175&amp;z=14.75z","Aut Bogotá - Medellín, Km 1.35 Vda Sabaneta - El Rosal, , Sabaneta, La Vega, Cundinamarca")</f>
        <v>Aut Bogotá - Medellín, Km 1.35 Vda Sabaneta - El Rosal, , Sabaneta, La Vega, Cundinamarca</v>
      </c>
      <c r="G863">
        <v>43</v>
      </c>
      <c r="H863">
        <v>138362</v>
      </c>
      <c r="I863">
        <v>-74.311750000000004</v>
      </c>
      <c r="J863">
        <v>4.89656</v>
      </c>
      <c r="K863" t="s">
        <v>24</v>
      </c>
      <c r="L863" s="1">
        <v>44615</v>
      </c>
      <c r="M863" s="2" t="s">
        <v>63</v>
      </c>
      <c r="N863" t="s">
        <v>20</v>
      </c>
      <c r="O863" t="s">
        <v>21</v>
      </c>
      <c r="P863" t="s">
        <v>22</v>
      </c>
    </row>
    <row r="864" spans="1:16" x14ac:dyDescent="0.25">
      <c r="A864" t="s">
        <v>16</v>
      </c>
      <c r="B864" t="s">
        <v>17</v>
      </c>
      <c r="C864" t="s">
        <v>18</v>
      </c>
      <c r="D864" s="1">
        <v>44615</v>
      </c>
      <c r="E864" s="2" t="s">
        <v>63</v>
      </c>
      <c r="F864" s="3" t="str">
        <f>HYPERLINK("https://maps.google.com/maps?q=4.89661,-74.30824&amp;ll=4.89661,-74.30824&amp;z=14.75z","Aut Bogotá - Medellín, Km 1.81 Vda Sabaneta - El Rosal, , Sabaneta, San Francisco, Cundinamarca")</f>
        <v>Aut Bogotá - Medellín, Km 1.81 Vda Sabaneta - El Rosal, , Sabaneta, San Francisco, Cundinamarca</v>
      </c>
      <c r="G864">
        <v>25</v>
      </c>
      <c r="H864">
        <v>138362</v>
      </c>
      <c r="I864">
        <v>-74.308239999999998</v>
      </c>
      <c r="J864">
        <v>4.8966099999999999</v>
      </c>
      <c r="K864" t="s">
        <v>41</v>
      </c>
      <c r="L864" s="1">
        <v>44615</v>
      </c>
      <c r="M864" s="2" t="s">
        <v>63</v>
      </c>
      <c r="N864" t="s">
        <v>20</v>
      </c>
      <c r="O864" t="s">
        <v>21</v>
      </c>
      <c r="P864" t="s">
        <v>22</v>
      </c>
    </row>
    <row r="865" spans="1:16" x14ac:dyDescent="0.25">
      <c r="A865" t="s">
        <v>16</v>
      </c>
      <c r="B865" t="s">
        <v>17</v>
      </c>
      <c r="C865" t="s">
        <v>18</v>
      </c>
      <c r="D865" s="1">
        <v>44615</v>
      </c>
      <c r="E865" s="2" t="s">
        <v>64</v>
      </c>
      <c r="F865" s="3" t="str">
        <f>HYPERLINK("https://maps.google.com/maps?q=4.89503,-74.30711&amp;ll=4.89503,-74.30711&amp;z=14.75z","Aut Bogotá - Medellín, Km 2.26 Vda Sabaneta - El Rosal, , Sabaneta, San Francisco, Cundinamarca")</f>
        <v>Aut Bogotá - Medellín, Km 2.26 Vda Sabaneta - El Rosal, , Sabaneta, San Francisco, Cundinamarca</v>
      </c>
      <c r="G865">
        <v>25</v>
      </c>
      <c r="H865">
        <v>138363</v>
      </c>
      <c r="I865">
        <v>-74.307109999999994</v>
      </c>
      <c r="J865">
        <v>4.8950300000000002</v>
      </c>
      <c r="K865" t="s">
        <v>31</v>
      </c>
      <c r="L865" s="1">
        <v>44615</v>
      </c>
      <c r="M865" s="2" t="s">
        <v>64</v>
      </c>
      <c r="N865" t="s">
        <v>20</v>
      </c>
      <c r="O865" t="s">
        <v>21</v>
      </c>
      <c r="P865" t="s">
        <v>22</v>
      </c>
    </row>
    <row r="866" spans="1:16" x14ac:dyDescent="0.25">
      <c r="A866" t="s">
        <v>16</v>
      </c>
      <c r="B866" t="s">
        <v>17</v>
      </c>
      <c r="C866" t="s">
        <v>18</v>
      </c>
      <c r="D866" s="1">
        <v>44615</v>
      </c>
      <c r="E866" s="2" t="s">
        <v>65</v>
      </c>
      <c r="F866" s="3" t="str">
        <f>HYPERLINK("https://maps.google.com/maps?q=4.89156,-74.30568&amp;ll=4.89156,-74.30568&amp;z=14.75z","Aut Bogotá - Medellín, Km 9.34 El Rosal - Entrada Sur Sn Fco, , Sabaneta, San Francisco, Cundinamarca")</f>
        <v>Aut Bogotá - Medellín, Km 9.34 El Rosal - Entrada Sur Sn Fco, , Sabaneta, San Francisco, Cundinamarca</v>
      </c>
      <c r="G866">
        <v>27</v>
      </c>
      <c r="H866">
        <v>138363</v>
      </c>
      <c r="I866">
        <v>-74.305679999999995</v>
      </c>
      <c r="J866">
        <v>4.8915600000000001</v>
      </c>
      <c r="K866" t="s">
        <v>33</v>
      </c>
      <c r="L866" s="1">
        <v>44615</v>
      </c>
      <c r="M866" s="2" t="s">
        <v>65</v>
      </c>
      <c r="N866" t="s">
        <v>20</v>
      </c>
      <c r="O866" t="s">
        <v>21</v>
      </c>
      <c r="P866" t="s">
        <v>22</v>
      </c>
    </row>
    <row r="867" spans="1:16" x14ac:dyDescent="0.25">
      <c r="A867" t="s">
        <v>16</v>
      </c>
      <c r="B867" t="s">
        <v>17</v>
      </c>
      <c r="C867" t="s">
        <v>18</v>
      </c>
      <c r="D867" s="1">
        <v>44615</v>
      </c>
      <c r="E867" s="2" t="s">
        <v>66</v>
      </c>
      <c r="F867" s="3" t="str">
        <f>HYPERLINK("https://maps.google.com/maps?q=4.8899,-74.30251&amp;ll=4.8899,-74.30251&amp;z=14.75z","Aut Bogotá - Medellín, Km 8.95 El Rosal - Entrada Sur Sn Fco, , Sabaneta, San Francisco, Cundinamarca")</f>
        <v>Aut Bogotá - Medellín, Km 8.95 El Rosal - Entrada Sur Sn Fco, , Sabaneta, San Francisco, Cundinamarca</v>
      </c>
      <c r="G867">
        <v>27</v>
      </c>
      <c r="H867">
        <v>138363</v>
      </c>
      <c r="I867">
        <v>-74.302509999999998</v>
      </c>
      <c r="J867">
        <v>4.8898999999999999</v>
      </c>
      <c r="K867" t="s">
        <v>33</v>
      </c>
      <c r="L867" s="1">
        <v>44615</v>
      </c>
      <c r="M867" s="2" t="s">
        <v>66</v>
      </c>
      <c r="N867" t="s">
        <v>20</v>
      </c>
      <c r="O867" t="s">
        <v>21</v>
      </c>
      <c r="P867" t="s">
        <v>22</v>
      </c>
    </row>
    <row r="868" spans="1:16" x14ac:dyDescent="0.25">
      <c r="A868" t="s">
        <v>16</v>
      </c>
      <c r="B868" t="s">
        <v>17</v>
      </c>
      <c r="C868" t="s">
        <v>18</v>
      </c>
      <c r="D868" s="1">
        <v>44615</v>
      </c>
      <c r="E868" s="2" t="s">
        <v>67</v>
      </c>
      <c r="F868" s="3" t="str">
        <f>HYPERLINK("https://maps.google.com/maps?q=4.88717,-74.30207&amp;ll=4.88717,-74.30207&amp;z=14.75z","Aut Bogotá - Medellín, Km 3.41 Vda Sabaneta - El Rosal, , Sabaneta, San Francisco, Cundinamarca")</f>
        <v>Aut Bogotá - Medellín, Km 3.41 Vda Sabaneta - El Rosal, , Sabaneta, San Francisco, Cundinamarca</v>
      </c>
      <c r="G868">
        <v>27</v>
      </c>
      <c r="H868">
        <v>138364</v>
      </c>
      <c r="I868">
        <v>-74.302070000000001</v>
      </c>
      <c r="J868">
        <v>4.8871700000000002</v>
      </c>
      <c r="K868" t="s">
        <v>30</v>
      </c>
      <c r="L868" s="1">
        <v>44615</v>
      </c>
      <c r="M868" s="2" t="s">
        <v>67</v>
      </c>
      <c r="N868" t="s">
        <v>20</v>
      </c>
      <c r="O868" t="s">
        <v>21</v>
      </c>
      <c r="P868" t="s">
        <v>22</v>
      </c>
    </row>
    <row r="869" spans="1:16" x14ac:dyDescent="0.25">
      <c r="A869" t="s">
        <v>16</v>
      </c>
      <c r="B869" t="s">
        <v>17</v>
      </c>
      <c r="C869" t="s">
        <v>18</v>
      </c>
      <c r="D869" s="1">
        <v>44615</v>
      </c>
      <c r="E869" s="2" t="s">
        <v>68</v>
      </c>
      <c r="F869" s="3" t="str">
        <f>HYPERLINK("https://maps.google.com/maps?q=4.88434,-74.30023&amp;ll=4.88434,-74.30023&amp;z=14.75z","Aut Bogotá - Medellín, Km 3.93 Vda Sabaneta - El Rosal, , Sabaneta, San Francisco, Cundinamarca")</f>
        <v>Aut Bogotá - Medellín, Km 3.93 Vda Sabaneta - El Rosal, , Sabaneta, San Francisco, Cundinamarca</v>
      </c>
      <c r="G869">
        <v>25</v>
      </c>
      <c r="H869">
        <v>138364</v>
      </c>
      <c r="I869">
        <v>-74.300229999999999</v>
      </c>
      <c r="J869">
        <v>4.8843399999999999</v>
      </c>
      <c r="K869" t="s">
        <v>31</v>
      </c>
      <c r="L869" s="1">
        <v>44615</v>
      </c>
      <c r="M869" s="2" t="s">
        <v>68</v>
      </c>
      <c r="N869" t="s">
        <v>20</v>
      </c>
      <c r="O869" t="s">
        <v>21</v>
      </c>
      <c r="P869" t="s">
        <v>22</v>
      </c>
    </row>
    <row r="870" spans="1:16" x14ac:dyDescent="0.25">
      <c r="A870" t="s">
        <v>16</v>
      </c>
      <c r="B870" t="s">
        <v>17</v>
      </c>
      <c r="C870" t="s">
        <v>18</v>
      </c>
      <c r="D870" s="1">
        <v>44615</v>
      </c>
      <c r="E870" s="2" t="s">
        <v>69</v>
      </c>
      <c r="F870" s="3" t="str">
        <f>HYPERLINK("https://maps.google.com/maps?q=4.88104,-74.30076&amp;ll=4.88104,-74.30076&amp;z=14.75z","Aut Bogotá - Medellín, Km 4.24 Vda Sabaneta - El Rosal, , Sabaneta, San Francisco, Cundinamarca")</f>
        <v>Aut Bogotá - Medellín, Km 4.24 Vda Sabaneta - El Rosal, , Sabaneta, San Francisco, Cundinamarca</v>
      </c>
      <c r="G870">
        <v>25</v>
      </c>
      <c r="H870">
        <v>138365</v>
      </c>
      <c r="I870">
        <v>-74.300759999999997</v>
      </c>
      <c r="J870">
        <v>4.8810399999999996</v>
      </c>
      <c r="K870" t="s">
        <v>31</v>
      </c>
      <c r="L870" s="1">
        <v>44615</v>
      </c>
      <c r="M870" s="2" t="s">
        <v>69</v>
      </c>
      <c r="N870" t="s">
        <v>20</v>
      </c>
      <c r="O870" t="s">
        <v>21</v>
      </c>
      <c r="P870" t="s">
        <v>22</v>
      </c>
    </row>
    <row r="871" spans="1:16" x14ac:dyDescent="0.25">
      <c r="A871" t="s">
        <v>16</v>
      </c>
      <c r="B871" t="s">
        <v>17</v>
      </c>
      <c r="C871" t="s">
        <v>18</v>
      </c>
      <c r="D871" s="1">
        <v>44615</v>
      </c>
      <c r="E871" s="2" t="s">
        <v>70</v>
      </c>
      <c r="F871" s="3" t="str">
        <f>HYPERLINK("https://maps.google.com/maps?q=4.87776,-74.30019&amp;ll=4.87776,-74.30019&amp;z=14.75z","Aut Bogotá - Medellín, Km 7.13 El Rosal - Entrada Sur Sn Fco, , Sabaneta, San Francisco, Cundinamarca")</f>
        <v>Aut Bogotá - Medellín, Km 7.13 El Rosal - Entrada Sur Sn Fco, , Sabaneta, San Francisco, Cundinamarca</v>
      </c>
      <c r="G871">
        <v>9</v>
      </c>
      <c r="H871">
        <v>138365</v>
      </c>
      <c r="I871">
        <v>-74.300190000000001</v>
      </c>
      <c r="J871">
        <v>4.8777600000000003</v>
      </c>
      <c r="K871" t="s">
        <v>33</v>
      </c>
      <c r="L871" s="1">
        <v>44615</v>
      </c>
      <c r="M871" s="2" t="s">
        <v>70</v>
      </c>
      <c r="N871" t="s">
        <v>20</v>
      </c>
      <c r="O871" t="s">
        <v>21</v>
      </c>
      <c r="P871" t="s">
        <v>22</v>
      </c>
    </row>
    <row r="872" spans="1:16" x14ac:dyDescent="0.25">
      <c r="A872" t="s">
        <v>16</v>
      </c>
      <c r="B872" t="s">
        <v>17</v>
      </c>
      <c r="C872" t="s">
        <v>18</v>
      </c>
      <c r="D872" s="1">
        <v>44615</v>
      </c>
      <c r="E872" s="2" t="s">
        <v>71</v>
      </c>
      <c r="F872" s="3" t="str">
        <f>HYPERLINK("https://maps.google.com/maps?q=4.87442,-74.29883&amp;ll=4.87442,-74.29883&amp;z=14.75z","Aut Bogotá - Medellín, Km 5.11 Vda Sabaneta - El Rosal, , Sabaneta, San Francisco, Cundinamarca")</f>
        <v>Aut Bogotá - Medellín, Km 5.11 Vda Sabaneta - El Rosal, , Sabaneta, San Francisco, Cundinamarca</v>
      </c>
      <c r="G872">
        <v>28</v>
      </c>
      <c r="H872">
        <v>138365</v>
      </c>
      <c r="I872">
        <v>-74.298829999999995</v>
      </c>
      <c r="J872">
        <v>4.8744199999999998</v>
      </c>
      <c r="K872" t="s">
        <v>33</v>
      </c>
      <c r="L872" s="1">
        <v>44615</v>
      </c>
      <c r="M872" s="2" t="s">
        <v>71</v>
      </c>
      <c r="N872" t="s">
        <v>20</v>
      </c>
      <c r="O872" t="s">
        <v>21</v>
      </c>
      <c r="P872" t="s">
        <v>22</v>
      </c>
    </row>
    <row r="873" spans="1:16" x14ac:dyDescent="0.25">
      <c r="A873" t="s">
        <v>16</v>
      </c>
      <c r="B873" t="s">
        <v>17</v>
      </c>
      <c r="C873" t="s">
        <v>18</v>
      </c>
      <c r="D873" s="1">
        <v>44615</v>
      </c>
      <c r="E873" s="2" t="s">
        <v>72</v>
      </c>
      <c r="F873" s="3" t="str">
        <f>HYPERLINK("https://maps.google.com/maps?q=4.87504,-74.29527&amp;ll=4.87504,-74.29527&amp;z=14.75z","Aut Bogotá - Medellín, Km 5.55 Vda Sabaneta - El Rosal, , Sabaneta, San Francisco, Cundinamarca")</f>
        <v>Aut Bogotá - Medellín, Km 5.55 Vda Sabaneta - El Rosal, , Sabaneta, San Francisco, Cundinamarca</v>
      </c>
      <c r="G873">
        <v>28</v>
      </c>
      <c r="H873">
        <v>138366</v>
      </c>
      <c r="I873">
        <v>-74.295270000000002</v>
      </c>
      <c r="J873">
        <v>4.8750400000000003</v>
      </c>
      <c r="K873" t="s">
        <v>41</v>
      </c>
      <c r="L873" s="1">
        <v>44615</v>
      </c>
      <c r="M873" s="2" t="s">
        <v>72</v>
      </c>
      <c r="N873" t="s">
        <v>20</v>
      </c>
      <c r="O873" t="s">
        <v>21</v>
      </c>
      <c r="P873" t="s">
        <v>22</v>
      </c>
    </row>
    <row r="874" spans="1:16" x14ac:dyDescent="0.25">
      <c r="A874" t="s">
        <v>16</v>
      </c>
      <c r="B874" t="s">
        <v>17</v>
      </c>
      <c r="C874" t="s">
        <v>18</v>
      </c>
      <c r="D874" s="1">
        <v>44615</v>
      </c>
      <c r="E874" s="2" t="s">
        <v>73</v>
      </c>
      <c r="F874" s="3" t="str">
        <f>HYPERLINK("https://maps.google.com/maps?q=4.87274,-74.29218&amp;ll=4.87274,-74.29218&amp;z=14.75z","Aut Bogotá - Medellín, Km 5.78 El Rosal - Entrada Sur Sn Fco, , Sabaneta, San Francisco, Cundinamarca")</f>
        <v>Aut Bogotá - Medellín, Km 5.78 El Rosal - Entrada Sur Sn Fco, , Sabaneta, San Francisco, Cundinamarca</v>
      </c>
      <c r="G874">
        <v>11</v>
      </c>
      <c r="H874">
        <v>138366</v>
      </c>
      <c r="I874">
        <v>-74.292180000000002</v>
      </c>
      <c r="J874">
        <v>4.8727400000000003</v>
      </c>
      <c r="K874" t="s">
        <v>33</v>
      </c>
      <c r="L874" s="1">
        <v>44615</v>
      </c>
      <c r="M874" s="2" t="s">
        <v>74</v>
      </c>
      <c r="N874" t="s">
        <v>20</v>
      </c>
      <c r="O874" t="s">
        <v>21</v>
      </c>
      <c r="P874" t="s">
        <v>22</v>
      </c>
    </row>
    <row r="875" spans="1:16" x14ac:dyDescent="0.25">
      <c r="A875" t="s">
        <v>16</v>
      </c>
      <c r="B875" t="s">
        <v>17</v>
      </c>
      <c r="C875" t="s">
        <v>18</v>
      </c>
      <c r="D875" s="1">
        <v>44615</v>
      </c>
      <c r="E875" s="2" t="s">
        <v>74</v>
      </c>
      <c r="F875" s="3" t="str">
        <f>HYPERLINK("https://maps.google.com/maps?q=4.87144,-74.29061&amp;ll=4.87144,-74.29061&amp;z=14.75z","Aut Bogotá - Medellín, Km 5.92 Vda Sabaneta - El Rosal, , Sabaneta, San Francisco, Cundinamarca")</f>
        <v>Aut Bogotá - Medellín, Km 5.92 Vda Sabaneta - El Rosal, , Sabaneta, San Francisco, Cundinamarca</v>
      </c>
      <c r="G875">
        <v>44</v>
      </c>
      <c r="H875">
        <v>138366</v>
      </c>
      <c r="I875">
        <v>-74.290610000000001</v>
      </c>
      <c r="J875">
        <v>4.8714399999999998</v>
      </c>
      <c r="K875" t="s">
        <v>33</v>
      </c>
      <c r="L875" s="1">
        <v>44615</v>
      </c>
      <c r="M875" s="2" t="s">
        <v>74</v>
      </c>
      <c r="N875" t="s">
        <v>20</v>
      </c>
      <c r="O875" t="s">
        <v>21</v>
      </c>
      <c r="P875" t="s">
        <v>22</v>
      </c>
    </row>
    <row r="876" spans="1:16" x14ac:dyDescent="0.25">
      <c r="A876" t="s">
        <v>16</v>
      </c>
      <c r="B876" t="s">
        <v>17</v>
      </c>
      <c r="C876" t="s">
        <v>27</v>
      </c>
      <c r="D876" s="1">
        <v>44615</v>
      </c>
      <c r="E876" s="2" t="s">
        <v>74</v>
      </c>
      <c r="F876" s="3" t="str">
        <f>HYPERLINK("https://maps.google.com/maps?q=4.86788,-74.29007&amp;ll=4.86788,-74.29007&amp;z=14.75z","Aut Bogotá - Medellín, Km 6.52 Vda Sabaneta - El Rosal, , Tierra Morada, Facatativá, Cundinamarca")</f>
        <v>Aut Bogotá - Medellín, Km 6.52 Vda Sabaneta - El Rosal, , Tierra Morada, Facatativá, Cundinamarca</v>
      </c>
      <c r="G876">
        <v>53</v>
      </c>
      <c r="H876">
        <v>138367</v>
      </c>
      <c r="I876">
        <v>-74.29007</v>
      </c>
      <c r="J876">
        <v>4.8678800000000004</v>
      </c>
      <c r="K876" t="s">
        <v>31</v>
      </c>
      <c r="L876" s="1">
        <v>44615</v>
      </c>
      <c r="M876" s="2" t="s">
        <v>74</v>
      </c>
      <c r="N876" t="s">
        <v>20</v>
      </c>
      <c r="O876" t="s">
        <v>21</v>
      </c>
      <c r="P876" t="s">
        <v>22</v>
      </c>
    </row>
    <row r="877" spans="1:16" x14ac:dyDescent="0.25">
      <c r="A877" t="s">
        <v>16</v>
      </c>
      <c r="B877" t="s">
        <v>17</v>
      </c>
      <c r="C877" t="s">
        <v>18</v>
      </c>
      <c r="D877" s="1">
        <v>44615</v>
      </c>
      <c r="E877" s="2" t="s">
        <v>75</v>
      </c>
      <c r="F877" s="3" t="str">
        <f>HYPERLINK("https://maps.google.com/maps?q=4.86529,-74.29032&amp;ll=4.86529,-74.29032&amp;z=14.75z","Retorno a Sn Francisco, , Tierra Morada, Facatativá, Cundinamarca")</f>
        <v>Retorno a Sn Francisco, , Tierra Morada, Facatativá, Cundinamarca</v>
      </c>
      <c r="G877">
        <v>49</v>
      </c>
      <c r="H877">
        <v>138367</v>
      </c>
      <c r="I877">
        <v>-74.290319999999994</v>
      </c>
      <c r="J877">
        <v>4.8652899999999999</v>
      </c>
      <c r="K877" t="s">
        <v>31</v>
      </c>
      <c r="L877" s="1">
        <v>44615</v>
      </c>
      <c r="M877" s="2" t="s">
        <v>75</v>
      </c>
      <c r="N877" t="s">
        <v>20</v>
      </c>
      <c r="O877" t="s">
        <v>21</v>
      </c>
      <c r="P877" t="s">
        <v>22</v>
      </c>
    </row>
    <row r="878" spans="1:16" x14ac:dyDescent="0.25">
      <c r="A878" t="s">
        <v>16</v>
      </c>
      <c r="B878" t="s">
        <v>17</v>
      </c>
      <c r="C878" t="s">
        <v>18</v>
      </c>
      <c r="D878" s="1">
        <v>44615</v>
      </c>
      <c r="E878" s="2" t="s">
        <v>75</v>
      </c>
      <c r="F878" s="3" t="str">
        <f>HYPERLINK("https://maps.google.com/maps?q=4.86529,-74.29032&amp;ll=4.86529,-74.29032&amp;z=14.75z","Retorno a Sn Francisco, , Tierra Morada, Facatativá, Cundinamarca")</f>
        <v>Retorno a Sn Francisco, , Tierra Morada, Facatativá, Cundinamarca</v>
      </c>
      <c r="G878">
        <v>49</v>
      </c>
      <c r="H878">
        <v>138367</v>
      </c>
      <c r="I878">
        <v>-74.290319999999994</v>
      </c>
      <c r="J878">
        <v>4.8652899999999999</v>
      </c>
      <c r="K878" t="s">
        <v>31</v>
      </c>
      <c r="L878" s="1">
        <v>44615</v>
      </c>
      <c r="M878" s="2" t="s">
        <v>75</v>
      </c>
      <c r="N878" t="s">
        <v>20</v>
      </c>
      <c r="O878" t="s">
        <v>21</v>
      </c>
      <c r="P878" t="s">
        <v>22</v>
      </c>
    </row>
    <row r="879" spans="1:16" x14ac:dyDescent="0.25">
      <c r="A879" t="s">
        <v>16</v>
      </c>
      <c r="B879" t="s">
        <v>17</v>
      </c>
      <c r="C879" t="s">
        <v>18</v>
      </c>
      <c r="D879" s="1">
        <v>44615</v>
      </c>
      <c r="E879" s="2" t="s">
        <v>75</v>
      </c>
      <c r="F879" s="3" t="str">
        <f>HYPERLINK("https://maps.google.com/maps?q=4.85937,-74.29045&amp;ll=4.85937,-74.29045&amp;z=14.75z","Aut Bogotá - Medellín, Km 7.54 Vda Sabaneta - El Rosal, , Tierra Morada, Facatativá, Cundinamarca")</f>
        <v>Aut Bogotá - Medellín, Km 7.54 Vda Sabaneta - El Rosal, , Tierra Morada, Facatativá, Cundinamarca</v>
      </c>
      <c r="G879">
        <v>29</v>
      </c>
      <c r="H879">
        <v>138368</v>
      </c>
      <c r="I879">
        <v>-74.290450000000007</v>
      </c>
      <c r="J879">
        <v>4.8593700000000002</v>
      </c>
      <c r="K879" t="s">
        <v>31</v>
      </c>
      <c r="L879" s="1">
        <v>44615</v>
      </c>
      <c r="M879" s="2" t="s">
        <v>76</v>
      </c>
      <c r="N879" t="s">
        <v>20</v>
      </c>
      <c r="O879" t="s">
        <v>21</v>
      </c>
      <c r="P879" t="s">
        <v>22</v>
      </c>
    </row>
    <row r="880" spans="1:16" x14ac:dyDescent="0.25">
      <c r="A880" t="s">
        <v>16</v>
      </c>
      <c r="B880" t="s">
        <v>17</v>
      </c>
      <c r="C880" t="s">
        <v>18</v>
      </c>
      <c r="D880" s="1">
        <v>44615</v>
      </c>
      <c r="E880" s="2" t="s">
        <v>76</v>
      </c>
      <c r="F880" s="3" t="str">
        <f>HYPERLINK("https://maps.google.com/maps?q=4.85774,-74.28636&amp;ll=4.85774,-74.28636&amp;z=14.75z","Aut Bogotá - Medellín, Km 8.23 Vda Sabaneta - El Rosal, , Tierra Morada, Facatativá, Cundinamarca")</f>
        <v>Aut Bogotá - Medellín, Km 8.23 Vda Sabaneta - El Rosal, , Tierra Morada, Facatativá, Cundinamarca</v>
      </c>
      <c r="G880">
        <v>50</v>
      </c>
      <c r="H880">
        <v>138368</v>
      </c>
      <c r="I880">
        <v>-74.286360000000002</v>
      </c>
      <c r="J880">
        <v>4.8577399999999997</v>
      </c>
      <c r="K880" t="s">
        <v>33</v>
      </c>
      <c r="L880" s="1">
        <v>44615</v>
      </c>
      <c r="M880" s="2" t="s">
        <v>77</v>
      </c>
      <c r="N880" t="s">
        <v>20</v>
      </c>
      <c r="O880" t="s">
        <v>21</v>
      </c>
      <c r="P880" t="s">
        <v>22</v>
      </c>
    </row>
    <row r="881" spans="1:16" x14ac:dyDescent="0.25">
      <c r="A881" t="s">
        <v>16</v>
      </c>
      <c r="B881" t="s">
        <v>17</v>
      </c>
      <c r="C881" t="s">
        <v>18</v>
      </c>
      <c r="D881" s="1">
        <v>44615</v>
      </c>
      <c r="E881" s="2" t="s">
        <v>77</v>
      </c>
      <c r="F881" s="3" t="str">
        <f>HYPERLINK("https://maps.google.com/maps?q=4.8551,-74.28112&amp;ll=4.8551,-74.28112&amp;z=14.75z","Aut Bogotá - Medellín, Km 8.76 Vda Sabaneta - El Rosal, , Tierra Morada, Facatativá, Cundinamarca")</f>
        <v>Aut Bogotá - Medellín, Km 8.76 Vda Sabaneta - El Rosal, , Tierra Morada, Facatativá, Cundinamarca</v>
      </c>
      <c r="G881">
        <v>45</v>
      </c>
      <c r="H881">
        <v>138369</v>
      </c>
      <c r="I881">
        <v>-74.281120000000001</v>
      </c>
      <c r="J881">
        <v>4.8551000000000002</v>
      </c>
      <c r="K881" t="s">
        <v>41</v>
      </c>
      <c r="L881" s="1">
        <v>44615</v>
      </c>
      <c r="M881" s="2" t="s">
        <v>78</v>
      </c>
      <c r="N881" t="s">
        <v>20</v>
      </c>
      <c r="O881" t="s">
        <v>21</v>
      </c>
      <c r="P881" t="s">
        <v>22</v>
      </c>
    </row>
    <row r="882" spans="1:16" x14ac:dyDescent="0.25">
      <c r="A882" t="s">
        <v>16</v>
      </c>
      <c r="B882" t="s">
        <v>17</v>
      </c>
      <c r="C882" t="s">
        <v>18</v>
      </c>
      <c r="D882" s="1">
        <v>44615</v>
      </c>
      <c r="E882" s="2" t="s">
        <v>78</v>
      </c>
      <c r="F882" s="3" t="str">
        <f>HYPERLINK("https://maps.google.com/maps?q=4.85198,-74.27558&amp;ll=4.85198,-74.27558&amp;z=14.75z","Aut Bogotá - Medellín, Km 9.67 Vda Sabaneta - El Rosal, , Tierra Grata, Facatativá, Cundinamarca")</f>
        <v>Aut Bogotá - Medellín, Km 9.67 Vda Sabaneta - El Rosal, , Tierra Grata, Facatativá, Cundinamarca</v>
      </c>
      <c r="G882">
        <v>48</v>
      </c>
      <c r="H882">
        <v>138370</v>
      </c>
      <c r="I882">
        <v>-74.275580000000005</v>
      </c>
      <c r="J882">
        <v>4.8519800000000002</v>
      </c>
      <c r="K882" t="s">
        <v>33</v>
      </c>
      <c r="L882" s="1">
        <v>44615</v>
      </c>
      <c r="M882" s="2" t="s">
        <v>78</v>
      </c>
      <c r="N882" t="s">
        <v>20</v>
      </c>
      <c r="O882" t="s">
        <v>21</v>
      </c>
      <c r="P882" t="s">
        <v>22</v>
      </c>
    </row>
    <row r="883" spans="1:16" x14ac:dyDescent="0.25">
      <c r="A883" t="s">
        <v>16</v>
      </c>
      <c r="B883" t="s">
        <v>17</v>
      </c>
      <c r="C883" t="s">
        <v>18</v>
      </c>
      <c r="D883" s="1">
        <v>44615</v>
      </c>
      <c r="E883" s="2" t="s">
        <v>79</v>
      </c>
      <c r="F883" s="3" t="str">
        <f>HYPERLINK("https://maps.google.com/maps?q=4.84985,-74.27258&amp;ll=4.84985,-74.27258&amp;z=14.75z","Aut Bogotá - Medellín, Km 1.87 El Rosal - Entrada Sur Sn Fco, , Tierra Grata, Facatativá, Cundinamarca")</f>
        <v>Aut Bogotá - Medellín, Km 1.87 El Rosal - Entrada Sur Sn Fco, , Tierra Grata, Facatativá, Cundinamarca</v>
      </c>
      <c r="G883">
        <v>16</v>
      </c>
      <c r="H883">
        <v>138370</v>
      </c>
      <c r="I883">
        <v>-74.272580000000005</v>
      </c>
      <c r="J883">
        <v>4.84985</v>
      </c>
      <c r="K883" t="s">
        <v>33</v>
      </c>
      <c r="L883" s="1">
        <v>44615</v>
      </c>
      <c r="M883" s="2" t="s">
        <v>80</v>
      </c>
      <c r="N883" t="s">
        <v>20</v>
      </c>
      <c r="O883" t="s">
        <v>21</v>
      </c>
      <c r="P883" t="s">
        <v>22</v>
      </c>
    </row>
    <row r="884" spans="1:16" x14ac:dyDescent="0.25">
      <c r="A884" t="s">
        <v>16</v>
      </c>
      <c r="B884" t="s">
        <v>17</v>
      </c>
      <c r="C884" t="s">
        <v>27</v>
      </c>
      <c r="D884" s="1">
        <v>44615</v>
      </c>
      <c r="E884" s="2" t="s">
        <v>80</v>
      </c>
      <c r="F884" s="3" t="str">
        <f>HYPERLINK("https://maps.google.com/maps?q=4.84962,-74.27253&amp;ll=4.84962,-74.27253&amp;z=14.75z","Aut Bogotá - Medellín, Km 1.87 El Rosal - Entrada Sur Sn Fco, , Tierra Grata, Facatativá, Cundinamarca")</f>
        <v>Aut Bogotá - Medellín, Km 1.87 El Rosal - Entrada Sur Sn Fco, , Tierra Grata, Facatativá, Cundinamarca</v>
      </c>
      <c r="G884">
        <v>1</v>
      </c>
      <c r="H884">
        <v>138370</v>
      </c>
      <c r="I884">
        <v>-74.272530000000003</v>
      </c>
      <c r="J884">
        <v>4.8496199999999998</v>
      </c>
      <c r="K884" t="s">
        <v>23</v>
      </c>
      <c r="L884" s="1">
        <v>44615</v>
      </c>
      <c r="M884" s="2" t="s">
        <v>80</v>
      </c>
      <c r="N884" t="s">
        <v>20</v>
      </c>
      <c r="O884" t="s">
        <v>21</v>
      </c>
      <c r="P884" t="s">
        <v>22</v>
      </c>
    </row>
    <row r="885" spans="1:16" x14ac:dyDescent="0.25">
      <c r="A885" t="s">
        <v>16</v>
      </c>
      <c r="B885" t="s">
        <v>17</v>
      </c>
      <c r="C885" t="s">
        <v>18</v>
      </c>
      <c r="D885" s="1">
        <v>44615</v>
      </c>
      <c r="E885" s="2" t="s">
        <v>81</v>
      </c>
      <c r="F885" s="3" t="str">
        <f>HYPERLINK("https://maps.google.com/maps?q=4.84964,-74.27249&amp;ll=4.84964,-74.27249&amp;z=14.75z","Aut Bogotá - Medellín, Km 1.87 El Rosal - Entrada Sur Sn Fco, , Tierra Grata, Facatativá, Cundinamarca")</f>
        <v>Aut Bogotá - Medellín, Km 1.87 El Rosal - Entrada Sur Sn Fco, , Tierra Grata, Facatativá, Cundinamarca</v>
      </c>
      <c r="G885">
        <v>0</v>
      </c>
      <c r="H885">
        <v>138370</v>
      </c>
      <c r="I885">
        <v>-74.272490000000005</v>
      </c>
      <c r="J885">
        <v>4.84964</v>
      </c>
      <c r="K885" t="s">
        <v>23</v>
      </c>
      <c r="L885" s="1">
        <v>44615</v>
      </c>
      <c r="M885" s="2" t="s">
        <v>81</v>
      </c>
      <c r="N885" t="s">
        <v>20</v>
      </c>
      <c r="O885" t="s">
        <v>21</v>
      </c>
      <c r="P885" t="s">
        <v>22</v>
      </c>
    </row>
    <row r="886" spans="1:16" x14ac:dyDescent="0.25">
      <c r="A886" t="s">
        <v>16</v>
      </c>
      <c r="B886" t="s">
        <v>17</v>
      </c>
      <c r="C886" t="s">
        <v>18</v>
      </c>
      <c r="D886" s="1">
        <v>44615</v>
      </c>
      <c r="E886" s="2" t="s">
        <v>82</v>
      </c>
      <c r="F886" s="3" t="str">
        <f>HYPERLINK("https://maps.google.com/maps?q=4.84968,-74.27244&amp;ll=4.84968,-74.27244&amp;z=14.75z","Aut Bogotá - Medellín, Km 1.87 El Rosal - Entrada Sur Sn Fco, , Tierra Grata, Facatativá, Cundinamarca")</f>
        <v>Aut Bogotá - Medellín, Km 1.87 El Rosal - Entrada Sur Sn Fco, , Tierra Grata, Facatativá, Cundinamarca</v>
      </c>
      <c r="G886">
        <v>0</v>
      </c>
      <c r="H886">
        <v>138370</v>
      </c>
      <c r="I886">
        <v>-74.272440000000003</v>
      </c>
      <c r="J886">
        <v>4.8496800000000002</v>
      </c>
      <c r="K886" t="s">
        <v>23</v>
      </c>
      <c r="L886" s="1">
        <v>44615</v>
      </c>
      <c r="M886" s="2" t="s">
        <v>82</v>
      </c>
      <c r="N886" t="s">
        <v>20</v>
      </c>
      <c r="O886" t="s">
        <v>21</v>
      </c>
      <c r="P886" t="s">
        <v>22</v>
      </c>
    </row>
    <row r="887" spans="1:16" x14ac:dyDescent="0.25">
      <c r="A887" t="s">
        <v>16</v>
      </c>
      <c r="B887" t="s">
        <v>94</v>
      </c>
      <c r="C887" t="s">
        <v>18</v>
      </c>
      <c r="D887" s="1">
        <v>44615</v>
      </c>
      <c r="E887" s="2" t="s">
        <v>83</v>
      </c>
      <c r="F887" s="3" t="str">
        <f>HYPERLINK("https://maps.google.com/maps?q=4.84968,-74.27244&amp;ll=4.84968,-74.27244&amp;z=14.75z","Aut Bogotá - Medellín, Km 1.87 El Rosal - Entrada Sur Sn Fco, , Tierra Grata, Facatativá, Cundinamarca")</f>
        <v>Aut Bogotá - Medellín, Km 1.87 El Rosal - Entrada Sur Sn Fco, , Tierra Grata, Facatativá, Cundinamarca</v>
      </c>
      <c r="G887">
        <v>0</v>
      </c>
      <c r="H887">
        <v>138370</v>
      </c>
      <c r="I887">
        <v>-74.272440000000003</v>
      </c>
      <c r="J887">
        <v>4.8496800000000002</v>
      </c>
      <c r="K887" t="s">
        <v>23</v>
      </c>
      <c r="L887" s="1">
        <v>44615</v>
      </c>
      <c r="M887" s="2" t="s">
        <v>83</v>
      </c>
      <c r="N887" t="s">
        <v>20</v>
      </c>
      <c r="O887" t="s">
        <v>21</v>
      </c>
      <c r="P887" t="s">
        <v>22</v>
      </c>
    </row>
    <row r="888" spans="1:16" x14ac:dyDescent="0.25">
      <c r="A888" t="s">
        <v>16</v>
      </c>
      <c r="B888" t="s">
        <v>94</v>
      </c>
      <c r="C888" t="s">
        <v>18</v>
      </c>
      <c r="D888" s="1">
        <v>44615</v>
      </c>
      <c r="E888" s="2" t="s">
        <v>84</v>
      </c>
      <c r="F888" s="3" t="str">
        <f>HYPERLINK("https://maps.google.com/maps?q=4.84969,-74.27244&amp;ll=4.84969,-74.27244&amp;z=14.75z","Aut Bogotá - Medellín, Km 1.87 El Rosal - Entrada Sur Sn Fco, , Tierra Grata, Facatativá, Cundinamarca")</f>
        <v>Aut Bogotá - Medellín, Km 1.87 El Rosal - Entrada Sur Sn Fco, , Tierra Grata, Facatativá, Cundinamarca</v>
      </c>
      <c r="G888">
        <v>0</v>
      </c>
      <c r="H888">
        <v>138370</v>
      </c>
      <c r="I888">
        <v>-74.272440000000003</v>
      </c>
      <c r="J888">
        <v>4.8496899999999998</v>
      </c>
      <c r="K888" t="s">
        <v>23</v>
      </c>
      <c r="L888" s="1">
        <v>44615</v>
      </c>
      <c r="M888" s="2" t="s">
        <v>84</v>
      </c>
      <c r="N888" t="s">
        <v>20</v>
      </c>
      <c r="O888" t="s">
        <v>21</v>
      </c>
      <c r="P888" t="s">
        <v>22</v>
      </c>
    </row>
    <row r="889" spans="1:16" x14ac:dyDescent="0.25">
      <c r="A889" t="s">
        <v>16</v>
      </c>
      <c r="B889" t="s">
        <v>94</v>
      </c>
      <c r="C889" t="s">
        <v>18</v>
      </c>
      <c r="D889" s="1">
        <v>44615</v>
      </c>
      <c r="E889" s="2" t="s">
        <v>84</v>
      </c>
      <c r="F889" s="3" t="str">
        <f>HYPERLINK("https://maps.google.com/maps?q=4.84969,-74.27244&amp;ll=4.84969,-74.27244&amp;z=14.75z","Aut Bogotá - Medellín, Km 1.87 El Rosal - Entrada Sur Sn Fco, , Tierra Grata, Facatativá, Cundinamarca")</f>
        <v>Aut Bogotá - Medellín, Km 1.87 El Rosal - Entrada Sur Sn Fco, , Tierra Grata, Facatativá, Cundinamarca</v>
      </c>
      <c r="G889">
        <v>0</v>
      </c>
      <c r="H889">
        <v>138370</v>
      </c>
      <c r="I889">
        <v>-74.272440000000003</v>
      </c>
      <c r="J889">
        <v>4.8496899999999998</v>
      </c>
      <c r="K889" t="s">
        <v>23</v>
      </c>
      <c r="L889" s="1">
        <v>44615</v>
      </c>
      <c r="M889" s="2" t="s">
        <v>85</v>
      </c>
      <c r="N889" t="s">
        <v>20</v>
      </c>
      <c r="O889" t="s">
        <v>21</v>
      </c>
      <c r="P889" t="s">
        <v>22</v>
      </c>
    </row>
    <row r="890" spans="1:16" x14ac:dyDescent="0.25">
      <c r="A890" t="s">
        <v>16</v>
      </c>
      <c r="B890" t="s">
        <v>94</v>
      </c>
      <c r="C890" t="s">
        <v>18</v>
      </c>
      <c r="D890" s="1">
        <v>44615</v>
      </c>
      <c r="E890" s="2" t="s">
        <v>85</v>
      </c>
      <c r="F890" s="3" t="str">
        <f>HYPERLINK("https://maps.google.com/maps?q=4.84968,-74.27245&amp;ll=4.84968,-74.27245&amp;z=14.75z","Aut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890">
        <v>0</v>
      </c>
      <c r="H890">
        <v>138370</v>
      </c>
      <c r="I890">
        <v>-74.272450000000006</v>
      </c>
      <c r="J890">
        <v>4.8496800000000002</v>
      </c>
      <c r="K890" t="s">
        <v>23</v>
      </c>
      <c r="L890" s="1">
        <v>44615</v>
      </c>
      <c r="M890" s="2" t="s">
        <v>85</v>
      </c>
      <c r="N890" t="s">
        <v>20</v>
      </c>
      <c r="O890" t="s">
        <v>21</v>
      </c>
      <c r="P890" t="s">
        <v>22</v>
      </c>
    </row>
    <row r="891" spans="1:16" x14ac:dyDescent="0.25">
      <c r="A891" t="s">
        <v>16</v>
      </c>
      <c r="B891" t="s">
        <v>94</v>
      </c>
      <c r="C891" t="s">
        <v>18</v>
      </c>
      <c r="D891" s="1">
        <v>44615</v>
      </c>
      <c r="E891" s="2" t="s">
        <v>86</v>
      </c>
      <c r="F891" s="3" t="str">
        <f>HYPERLINK("https://maps.google.com/maps?q=4.84968,-74.27244&amp;ll=4.84968,-74.27244&amp;z=14.75z","Aut Bogotá - Medellín, Km 1.87 El Rosal - Entrada Sur Sn Fco, , Tierra Grata, Facatativá, Cundinamarca")</f>
        <v>Aut Bogotá - Medellín, Km 1.87 El Rosal - Entrada Sur Sn Fco, , Tierra Grata, Facatativá, Cundinamarca</v>
      </c>
      <c r="G891">
        <v>0</v>
      </c>
      <c r="H891">
        <v>138370</v>
      </c>
      <c r="I891">
        <v>-74.272440000000003</v>
      </c>
      <c r="J891">
        <v>4.8496800000000002</v>
      </c>
      <c r="K891" t="s">
        <v>23</v>
      </c>
      <c r="L891" s="1">
        <v>44615</v>
      </c>
      <c r="M891" s="2" t="s">
        <v>86</v>
      </c>
      <c r="N891" t="s">
        <v>20</v>
      </c>
      <c r="O891" t="s">
        <v>21</v>
      </c>
      <c r="P891" t="s">
        <v>22</v>
      </c>
    </row>
    <row r="892" spans="1:16" x14ac:dyDescent="0.25">
      <c r="A892" t="s">
        <v>16</v>
      </c>
      <c r="B892" t="s">
        <v>94</v>
      </c>
      <c r="C892" t="s">
        <v>18</v>
      </c>
      <c r="D892" s="1">
        <v>44615</v>
      </c>
      <c r="E892" s="2" t="s">
        <v>87</v>
      </c>
      <c r="F892" s="3" t="str">
        <f>HYPERLINK("https://maps.google.com/maps?q=4.84968,-74.27244&amp;ll=4.84968,-74.27244&amp;z=14.75z","Aut Bogotá - Medellín, Km 1.87 El Rosal - Entrada Sur Sn Fco, , Tierra Grata, Facatativá, Cundinamarca")</f>
        <v>Aut Bogotá - Medellín, Km 1.87 El Rosal - Entrada Sur Sn Fco, , Tierra Grata, Facatativá, Cundinamarca</v>
      </c>
      <c r="G892">
        <v>0</v>
      </c>
      <c r="H892">
        <v>138370</v>
      </c>
      <c r="I892">
        <v>-74.272440000000003</v>
      </c>
      <c r="J892">
        <v>4.8496800000000002</v>
      </c>
      <c r="K892" t="s">
        <v>23</v>
      </c>
      <c r="L892" s="1">
        <v>44615</v>
      </c>
      <c r="M892" s="2" t="s">
        <v>87</v>
      </c>
      <c r="N892" t="s">
        <v>20</v>
      </c>
      <c r="O892" t="s">
        <v>21</v>
      </c>
      <c r="P892" t="s">
        <v>22</v>
      </c>
    </row>
    <row r="893" spans="1:16" x14ac:dyDescent="0.25">
      <c r="A893" t="s">
        <v>16</v>
      </c>
      <c r="B893" t="s">
        <v>94</v>
      </c>
      <c r="C893" t="s">
        <v>18</v>
      </c>
      <c r="D893" s="1">
        <v>44615</v>
      </c>
      <c r="E893" s="2" t="s">
        <v>88</v>
      </c>
      <c r="F893" s="3" t="str">
        <f>HYPERLINK("https://maps.google.com/maps?q=4.84968,-74.27245&amp;ll=4.84968,-74.27245&amp;z=14.75z","Aut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893">
        <v>0</v>
      </c>
      <c r="H893">
        <v>138370</v>
      </c>
      <c r="I893">
        <v>-74.272450000000006</v>
      </c>
      <c r="J893">
        <v>4.8496800000000002</v>
      </c>
      <c r="K893" t="s">
        <v>23</v>
      </c>
      <c r="L893" s="1">
        <v>44615</v>
      </c>
      <c r="M893" s="2" t="s">
        <v>88</v>
      </c>
      <c r="N893" t="s">
        <v>20</v>
      </c>
      <c r="O893" t="s">
        <v>21</v>
      </c>
      <c r="P893" t="s">
        <v>22</v>
      </c>
    </row>
    <row r="894" spans="1:16" x14ac:dyDescent="0.25">
      <c r="A894" t="s">
        <v>16</v>
      </c>
      <c r="B894" t="s">
        <v>94</v>
      </c>
      <c r="C894" t="s">
        <v>18</v>
      </c>
      <c r="D894" s="1">
        <v>44615</v>
      </c>
      <c r="E894" s="2" t="s">
        <v>89</v>
      </c>
      <c r="F894" s="3" t="str">
        <f>HYPERLINK("https://maps.google.com/maps?q=4.84968,-74.27245&amp;ll=4.84968,-74.27245&amp;z=14.75z","Aut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894">
        <v>0</v>
      </c>
      <c r="H894">
        <v>138370</v>
      </c>
      <c r="I894">
        <v>-74.272450000000006</v>
      </c>
      <c r="J894">
        <v>4.8496800000000002</v>
      </c>
      <c r="K894" t="s">
        <v>23</v>
      </c>
      <c r="L894" s="1">
        <v>44615</v>
      </c>
      <c r="M894" s="2" t="s">
        <v>89</v>
      </c>
      <c r="N894" t="s">
        <v>20</v>
      </c>
      <c r="O894" t="s">
        <v>21</v>
      </c>
      <c r="P894" t="s">
        <v>22</v>
      </c>
    </row>
    <row r="895" spans="1:16" x14ac:dyDescent="0.25">
      <c r="A895" t="s">
        <v>16</v>
      </c>
      <c r="B895" t="s">
        <v>94</v>
      </c>
      <c r="C895" t="s">
        <v>18</v>
      </c>
      <c r="D895" s="1">
        <v>44615</v>
      </c>
      <c r="E895" s="2" t="s">
        <v>90</v>
      </c>
      <c r="F895" s="3" t="str">
        <f>HYPERLINK("https://maps.google.com/maps?q=4.84968,-74.27245&amp;ll=4.84968,-74.27245&amp;z=14.75z","Aut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895">
        <v>0</v>
      </c>
      <c r="H895">
        <v>138370</v>
      </c>
      <c r="I895">
        <v>-74.272450000000006</v>
      </c>
      <c r="J895">
        <v>4.8496800000000002</v>
      </c>
      <c r="K895" t="s">
        <v>23</v>
      </c>
      <c r="L895" s="1">
        <v>44615</v>
      </c>
      <c r="M895" s="2" t="s">
        <v>90</v>
      </c>
      <c r="N895" t="s">
        <v>20</v>
      </c>
      <c r="O895" t="s">
        <v>21</v>
      </c>
      <c r="P895" t="s">
        <v>22</v>
      </c>
    </row>
    <row r="896" spans="1:16" x14ac:dyDescent="0.25">
      <c r="A896" t="s">
        <v>16</v>
      </c>
      <c r="B896" t="s">
        <v>94</v>
      </c>
      <c r="C896" t="s">
        <v>18</v>
      </c>
      <c r="D896" s="1">
        <v>44615</v>
      </c>
      <c r="E896" s="2" t="s">
        <v>91</v>
      </c>
      <c r="F896" s="3" t="str">
        <f>HYPERLINK("https://maps.google.com/maps?q=4.84968,-74.27245&amp;ll=4.84968,-74.27245&amp;z=14.75z","Aut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896">
        <v>0</v>
      </c>
      <c r="H896">
        <v>138370</v>
      </c>
      <c r="I896">
        <v>-74.272450000000006</v>
      </c>
      <c r="J896">
        <v>4.8496800000000002</v>
      </c>
      <c r="K896" t="s">
        <v>23</v>
      </c>
      <c r="L896" s="1">
        <v>44615</v>
      </c>
      <c r="M896" s="2" t="s">
        <v>91</v>
      </c>
      <c r="N896" t="s">
        <v>20</v>
      </c>
      <c r="O896" t="s">
        <v>21</v>
      </c>
      <c r="P896" t="s">
        <v>22</v>
      </c>
    </row>
    <row r="897" spans="1:16" x14ac:dyDescent="0.25">
      <c r="A897" t="s">
        <v>16</v>
      </c>
      <c r="B897" t="s">
        <v>94</v>
      </c>
      <c r="C897" t="s">
        <v>18</v>
      </c>
      <c r="D897" s="1">
        <v>44615</v>
      </c>
      <c r="E897" s="2" t="s">
        <v>92</v>
      </c>
      <c r="F897" s="3" t="str">
        <f>HYPERLINK("https://maps.google.com/maps?q=4.84968,-74.27245&amp;ll=4.84968,-74.27245&amp;z=14.75z","Aut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897">
        <v>0</v>
      </c>
      <c r="H897">
        <v>138370</v>
      </c>
      <c r="I897">
        <v>-74.272450000000006</v>
      </c>
      <c r="J897">
        <v>4.8496800000000002</v>
      </c>
      <c r="K897" t="s">
        <v>23</v>
      </c>
      <c r="L897" s="1">
        <v>44615</v>
      </c>
      <c r="M897" s="2" t="s">
        <v>92</v>
      </c>
      <c r="N897" t="s">
        <v>20</v>
      </c>
      <c r="O897" t="s">
        <v>21</v>
      </c>
      <c r="P897" t="s">
        <v>22</v>
      </c>
    </row>
    <row r="898" spans="1:16" x14ac:dyDescent="0.25">
      <c r="A898" t="s">
        <v>16</v>
      </c>
      <c r="B898" t="s">
        <v>94</v>
      </c>
      <c r="C898" t="s">
        <v>18</v>
      </c>
      <c r="D898" s="1">
        <v>44615</v>
      </c>
      <c r="E898" s="2" t="s">
        <v>93</v>
      </c>
      <c r="F898" s="3" t="str">
        <f>HYPERLINK("https://maps.google.com/maps?q=4.84968,-74.27246&amp;ll=4.84968,-74.27246&amp;z=14.75z","Aut Bogotá - Medellín, Km 1.87 El Rosal - Entrada Sur Sn Fco, , Tierra Grata, Facatativá, Cundinamarca")</f>
        <v>Aut Bogotá - Medellín, Km 1.87 El Rosal - Entrada Sur Sn Fco, , Tierra Grata, Facatativá, Cundinamarca</v>
      </c>
      <c r="G898">
        <v>0</v>
      </c>
      <c r="H898">
        <v>138370</v>
      </c>
      <c r="I898">
        <v>-74.272459999999995</v>
      </c>
      <c r="J898">
        <v>4.8496800000000002</v>
      </c>
      <c r="K898" t="s">
        <v>23</v>
      </c>
      <c r="L898" s="1">
        <v>44615</v>
      </c>
      <c r="M898" s="2" t="s">
        <v>93</v>
      </c>
      <c r="N898" t="s">
        <v>20</v>
      </c>
      <c r="O898" t="s">
        <v>21</v>
      </c>
      <c r="P898" t="s">
        <v>22</v>
      </c>
    </row>
    <row r="899" spans="1:16" x14ac:dyDescent="0.25">
      <c r="A899" t="s">
        <v>16</v>
      </c>
      <c r="B899" t="s">
        <v>94</v>
      </c>
      <c r="C899" t="s">
        <v>18</v>
      </c>
      <c r="D899" s="1">
        <v>44615</v>
      </c>
      <c r="E899" s="2" t="s">
        <v>648</v>
      </c>
      <c r="F899" s="3" t="str">
        <f>HYPERLINK("https://maps.google.com/maps?q=4.84968,-74.27246&amp;ll=4.84968,-74.27246&amp;z=14.75z","Aut Bogotá - Medellín, Km 1.87 El Rosal - Entrada Sur Sn Fco, , Tierra Grata, Facatativá, Cundinamarca")</f>
        <v>Aut Bogotá - Medellín, Km 1.87 El Rosal - Entrada Sur Sn Fco, , Tierra Grata, Facatativá, Cundinamarca</v>
      </c>
      <c r="G899">
        <v>0</v>
      </c>
      <c r="H899">
        <v>138370</v>
      </c>
      <c r="I899">
        <v>-74.272459999999995</v>
      </c>
      <c r="J899">
        <v>4.8496800000000002</v>
      </c>
      <c r="K899" t="s">
        <v>23</v>
      </c>
      <c r="L899" s="1">
        <v>44615</v>
      </c>
      <c r="M899" s="2" t="s">
        <v>648</v>
      </c>
      <c r="N899" t="s">
        <v>20</v>
      </c>
      <c r="O899" t="s">
        <v>21</v>
      </c>
      <c r="P899" t="s">
        <v>22</v>
      </c>
    </row>
    <row r="900" spans="1:16" x14ac:dyDescent="0.25">
      <c r="A900" t="s">
        <v>16</v>
      </c>
      <c r="B900" t="s">
        <v>94</v>
      </c>
      <c r="C900" t="s">
        <v>18</v>
      </c>
      <c r="D900" s="1">
        <v>44615</v>
      </c>
      <c r="E900" s="2" t="s">
        <v>95</v>
      </c>
      <c r="F900" s="3" t="str">
        <f>HYPERLINK("https://maps.google.com/maps?q=4.84967,-74.27245&amp;ll=4.84967,-74.27245&amp;z=14.75z","Aut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900">
        <v>0</v>
      </c>
      <c r="H900">
        <v>138370</v>
      </c>
      <c r="I900">
        <v>-74.272450000000006</v>
      </c>
      <c r="J900">
        <v>4.8496699999999997</v>
      </c>
      <c r="K900" t="s">
        <v>23</v>
      </c>
      <c r="L900" s="1">
        <v>44615</v>
      </c>
      <c r="M900" s="2" t="s">
        <v>95</v>
      </c>
      <c r="N900" t="s">
        <v>20</v>
      </c>
      <c r="O900" t="s">
        <v>21</v>
      </c>
      <c r="P900" t="s">
        <v>22</v>
      </c>
    </row>
    <row r="901" spans="1:16" x14ac:dyDescent="0.25">
      <c r="A901" t="s">
        <v>16</v>
      </c>
      <c r="B901" t="s">
        <v>94</v>
      </c>
      <c r="C901" t="s">
        <v>18</v>
      </c>
      <c r="D901" s="1">
        <v>44615</v>
      </c>
      <c r="E901" s="2" t="s">
        <v>96</v>
      </c>
      <c r="F901" s="3" t="str">
        <f>HYPERLINK("https://maps.google.com/maps?q=4.84967,-74.27245&amp;ll=4.84967,-74.27245&amp;z=14.75z","Aut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901">
        <v>0</v>
      </c>
      <c r="H901">
        <v>138370</v>
      </c>
      <c r="I901">
        <v>-74.272450000000006</v>
      </c>
      <c r="J901">
        <v>4.8496699999999997</v>
      </c>
      <c r="K901" t="s">
        <v>23</v>
      </c>
      <c r="L901" s="1">
        <v>44615</v>
      </c>
      <c r="M901" s="2" t="s">
        <v>96</v>
      </c>
      <c r="N901" t="s">
        <v>20</v>
      </c>
      <c r="O901" t="s">
        <v>21</v>
      </c>
      <c r="P901" t="s">
        <v>22</v>
      </c>
    </row>
    <row r="902" spans="1:16" x14ac:dyDescent="0.25">
      <c r="A902" t="s">
        <v>16</v>
      </c>
      <c r="B902" t="s">
        <v>94</v>
      </c>
      <c r="C902" t="s">
        <v>18</v>
      </c>
      <c r="D902" s="1">
        <v>44615</v>
      </c>
      <c r="E902" s="2" t="s">
        <v>97</v>
      </c>
      <c r="F902" s="3" t="str">
        <f>HYPERLINK("https://maps.google.com/maps?q=4.84967,-74.27245&amp;ll=4.84967,-74.27245&amp;z=14.75z","Aut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902">
        <v>0</v>
      </c>
      <c r="H902">
        <v>138370</v>
      </c>
      <c r="I902">
        <v>-74.272450000000006</v>
      </c>
      <c r="J902">
        <v>4.8496699999999997</v>
      </c>
      <c r="K902" t="s">
        <v>23</v>
      </c>
      <c r="L902" s="1">
        <v>44615</v>
      </c>
      <c r="M902" s="2" t="s">
        <v>97</v>
      </c>
      <c r="N902" t="s">
        <v>20</v>
      </c>
      <c r="O902" t="s">
        <v>21</v>
      </c>
      <c r="P902" t="s">
        <v>22</v>
      </c>
    </row>
    <row r="903" spans="1:16" x14ac:dyDescent="0.25">
      <c r="A903" t="s">
        <v>16</v>
      </c>
      <c r="B903" t="s">
        <v>94</v>
      </c>
      <c r="C903" t="s">
        <v>18</v>
      </c>
      <c r="D903" s="1">
        <v>44615</v>
      </c>
      <c r="E903" s="2" t="s">
        <v>98</v>
      </c>
      <c r="F903" s="3" t="str">
        <f>HYPERLINK("https://maps.google.com/maps?q=4.84967,-74.27245&amp;ll=4.84967,-74.27245&amp;z=14.75z","Aut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903">
        <v>0</v>
      </c>
      <c r="H903">
        <v>138370</v>
      </c>
      <c r="I903">
        <v>-74.272450000000006</v>
      </c>
      <c r="J903">
        <v>4.8496699999999997</v>
      </c>
      <c r="K903" t="s">
        <v>23</v>
      </c>
      <c r="L903" s="1">
        <v>44615</v>
      </c>
      <c r="M903" s="2" t="s">
        <v>98</v>
      </c>
      <c r="N903" t="s">
        <v>20</v>
      </c>
      <c r="O903" t="s">
        <v>21</v>
      </c>
      <c r="P903" t="s">
        <v>22</v>
      </c>
    </row>
    <row r="904" spans="1:16" x14ac:dyDescent="0.25">
      <c r="A904" t="s">
        <v>16</v>
      </c>
      <c r="B904" t="s">
        <v>94</v>
      </c>
      <c r="C904" t="s">
        <v>18</v>
      </c>
      <c r="D904" s="1">
        <v>44615</v>
      </c>
      <c r="E904" s="2" t="s">
        <v>98</v>
      </c>
      <c r="F904" s="3" t="str">
        <f>HYPERLINK("https://maps.google.com/maps?q=4.84967,-74.27245&amp;ll=4.84967,-74.27245&amp;z=14.75z","Aut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904">
        <v>0</v>
      </c>
      <c r="H904">
        <v>138370</v>
      </c>
      <c r="I904">
        <v>-74.272450000000006</v>
      </c>
      <c r="J904">
        <v>4.8496699999999997</v>
      </c>
      <c r="K904" t="s">
        <v>23</v>
      </c>
      <c r="L904" s="1">
        <v>44615</v>
      </c>
      <c r="M904" s="2" t="s">
        <v>649</v>
      </c>
      <c r="N904" t="s">
        <v>20</v>
      </c>
      <c r="O904" t="s">
        <v>21</v>
      </c>
      <c r="P904" t="s">
        <v>22</v>
      </c>
    </row>
    <row r="905" spans="1:16" x14ac:dyDescent="0.25">
      <c r="A905" t="s">
        <v>16</v>
      </c>
      <c r="B905" t="s">
        <v>94</v>
      </c>
      <c r="C905" t="s">
        <v>18</v>
      </c>
      <c r="D905" s="1">
        <v>44615</v>
      </c>
      <c r="E905" s="2" t="s">
        <v>649</v>
      </c>
      <c r="F905" s="3" t="str">
        <f>HYPERLINK("https://maps.google.com/maps?q=4.84968,-74.27245&amp;ll=4.84968,-74.27245&amp;z=14.75z","Aut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905">
        <v>0</v>
      </c>
      <c r="H905">
        <v>138370</v>
      </c>
      <c r="I905">
        <v>-74.272450000000006</v>
      </c>
      <c r="J905">
        <v>4.8496800000000002</v>
      </c>
      <c r="K905" t="s">
        <v>23</v>
      </c>
      <c r="L905" s="1">
        <v>44615</v>
      </c>
      <c r="M905" s="2" t="s">
        <v>649</v>
      </c>
      <c r="N905" t="s">
        <v>20</v>
      </c>
      <c r="O905" t="s">
        <v>21</v>
      </c>
      <c r="P905" t="s">
        <v>22</v>
      </c>
    </row>
    <row r="906" spans="1:16" x14ac:dyDescent="0.25">
      <c r="A906" t="s">
        <v>16</v>
      </c>
      <c r="B906" t="s">
        <v>94</v>
      </c>
      <c r="C906" t="s">
        <v>18</v>
      </c>
      <c r="D906" s="1">
        <v>44615</v>
      </c>
      <c r="E906" s="2" t="s">
        <v>99</v>
      </c>
      <c r="F906" s="3" t="str">
        <f>HYPERLINK("https://maps.google.com/maps?q=4.84968,-74.27245&amp;ll=4.84968,-74.27245&amp;z=14.75z","Aut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906">
        <v>0</v>
      </c>
      <c r="H906">
        <v>138370</v>
      </c>
      <c r="I906">
        <v>-74.272450000000006</v>
      </c>
      <c r="J906">
        <v>4.8496800000000002</v>
      </c>
      <c r="K906" t="s">
        <v>23</v>
      </c>
      <c r="L906" s="1">
        <v>44615</v>
      </c>
      <c r="M906" s="2" t="s">
        <v>99</v>
      </c>
      <c r="N906" t="s">
        <v>20</v>
      </c>
      <c r="O906" t="s">
        <v>21</v>
      </c>
      <c r="P906" t="s">
        <v>22</v>
      </c>
    </row>
    <row r="907" spans="1:16" x14ac:dyDescent="0.25">
      <c r="A907" t="s">
        <v>16</v>
      </c>
      <c r="B907" t="s">
        <v>94</v>
      </c>
      <c r="C907" t="s">
        <v>18</v>
      </c>
      <c r="D907" s="1">
        <v>44615</v>
      </c>
      <c r="E907" s="2" t="s">
        <v>100</v>
      </c>
      <c r="F907" s="3" t="str">
        <f>HYPERLINK("https://maps.google.com/maps?q=4.84968,-74.27246&amp;ll=4.84968,-74.27246&amp;z=14.75z","Aut Bogotá - Medellín, Km 1.87 El Rosal - Entrada Sur Sn Fco, , Tierra Grata, Facatativá, Cundinamarca")</f>
        <v>Aut Bogotá - Medellín, Km 1.87 El Rosal - Entrada Sur Sn Fco, , Tierra Grata, Facatativá, Cundinamarca</v>
      </c>
      <c r="G907">
        <v>0</v>
      </c>
      <c r="H907">
        <v>138370</v>
      </c>
      <c r="I907">
        <v>-74.272459999999995</v>
      </c>
      <c r="J907">
        <v>4.8496800000000002</v>
      </c>
      <c r="K907" t="s">
        <v>23</v>
      </c>
      <c r="L907" s="1">
        <v>44615</v>
      </c>
      <c r="M907" s="2" t="s">
        <v>100</v>
      </c>
      <c r="N907" t="s">
        <v>20</v>
      </c>
      <c r="O907" t="s">
        <v>21</v>
      </c>
      <c r="P907" t="s">
        <v>22</v>
      </c>
    </row>
    <row r="908" spans="1:16" x14ac:dyDescent="0.25">
      <c r="A908" t="s">
        <v>16</v>
      </c>
      <c r="B908" t="s">
        <v>94</v>
      </c>
      <c r="C908" t="s">
        <v>18</v>
      </c>
      <c r="D908" s="1">
        <v>44615</v>
      </c>
      <c r="E908" s="2" t="s">
        <v>101</v>
      </c>
      <c r="F908" s="3" t="str">
        <f>HYPERLINK("https://maps.google.com/maps?q=4.84968,-74.27247&amp;ll=4.84968,-74.27247&amp;z=14.75z","Aut Bogotá - Medellín, Km 1.87 El Rosal - Entrada Sur Sn Fco, , Tierra Grata, Facatativá, Cundinamarca")</f>
        <v>Aut Bogotá - Medellín, Km 1.87 El Rosal - Entrada Sur Sn Fco, , Tierra Grata, Facatativá, Cundinamarca</v>
      </c>
      <c r="G908">
        <v>0</v>
      </c>
      <c r="H908">
        <v>138370</v>
      </c>
      <c r="I908">
        <v>-74.272469999999998</v>
      </c>
      <c r="J908">
        <v>4.8496800000000002</v>
      </c>
      <c r="K908" t="s">
        <v>23</v>
      </c>
      <c r="L908" s="1">
        <v>44615</v>
      </c>
      <c r="M908" s="2" t="s">
        <v>101</v>
      </c>
      <c r="N908" t="s">
        <v>20</v>
      </c>
      <c r="O908" t="s">
        <v>21</v>
      </c>
      <c r="P908" t="s">
        <v>22</v>
      </c>
    </row>
    <row r="909" spans="1:16" x14ac:dyDescent="0.25">
      <c r="A909" t="s">
        <v>16</v>
      </c>
      <c r="B909" t="s">
        <v>94</v>
      </c>
      <c r="C909" t="s">
        <v>18</v>
      </c>
      <c r="D909" s="1">
        <v>44615</v>
      </c>
      <c r="E909" s="2" t="s">
        <v>102</v>
      </c>
      <c r="F909" s="3" t="str">
        <f>HYPERLINK("https://maps.google.com/maps?q=4.84969,-74.27246&amp;ll=4.84969,-74.27246&amp;z=14.75z","Aut Bogotá - Medellín, Km 1.87 El Rosal - Entrada Sur Sn Fco, , Tierra Grata, Facatativá, Cundinamarca")</f>
        <v>Aut Bogotá - Medellín, Km 1.87 El Rosal - Entrada Sur Sn Fco, , Tierra Grata, Facatativá, Cundinamarca</v>
      </c>
      <c r="G909">
        <v>0</v>
      </c>
      <c r="H909">
        <v>138370</v>
      </c>
      <c r="I909">
        <v>-74.272459999999995</v>
      </c>
      <c r="J909">
        <v>4.8496899999999998</v>
      </c>
      <c r="K909" t="s">
        <v>23</v>
      </c>
      <c r="L909" s="1">
        <v>44615</v>
      </c>
      <c r="M909" s="2" t="s">
        <v>102</v>
      </c>
      <c r="N909" t="s">
        <v>20</v>
      </c>
      <c r="O909" t="s">
        <v>21</v>
      </c>
      <c r="P909" t="s">
        <v>22</v>
      </c>
    </row>
    <row r="910" spans="1:16" x14ac:dyDescent="0.25">
      <c r="A910" t="s">
        <v>16</v>
      </c>
      <c r="B910" t="s">
        <v>94</v>
      </c>
      <c r="C910" t="s">
        <v>18</v>
      </c>
      <c r="D910" s="1">
        <v>44615</v>
      </c>
      <c r="E910" s="2" t="s">
        <v>103</v>
      </c>
      <c r="F910" s="3" t="str">
        <f>HYPERLINK("https://maps.google.com/maps?q=4.84968,-74.27246&amp;ll=4.84968,-74.27246&amp;z=14.75z","Aut Bogotá - Medellín, Km 1.87 El Rosal - Entrada Sur Sn Fco, , Tierra Grata, Facatativá, Cundinamarca")</f>
        <v>Aut Bogotá - Medellín, Km 1.87 El Rosal - Entrada Sur Sn Fco, , Tierra Grata, Facatativá, Cundinamarca</v>
      </c>
      <c r="G910">
        <v>0</v>
      </c>
      <c r="H910">
        <v>138370</v>
      </c>
      <c r="I910">
        <v>-74.272459999999995</v>
      </c>
      <c r="J910">
        <v>4.8496800000000002</v>
      </c>
      <c r="K910" t="s">
        <v>23</v>
      </c>
      <c r="L910" s="1">
        <v>44615</v>
      </c>
      <c r="M910" s="2" t="s">
        <v>103</v>
      </c>
      <c r="N910" t="s">
        <v>20</v>
      </c>
      <c r="O910" t="s">
        <v>21</v>
      </c>
      <c r="P910" t="s">
        <v>22</v>
      </c>
    </row>
    <row r="911" spans="1:16" x14ac:dyDescent="0.25">
      <c r="A911" t="s">
        <v>16</v>
      </c>
      <c r="B911" t="s">
        <v>94</v>
      </c>
      <c r="C911" t="s">
        <v>18</v>
      </c>
      <c r="D911" s="1">
        <v>44615</v>
      </c>
      <c r="E911" s="2" t="s">
        <v>104</v>
      </c>
      <c r="F911" s="3" t="str">
        <f>HYPERLINK("https://maps.google.com/maps?q=4.84968,-74.27247&amp;ll=4.84968,-74.27247&amp;z=14.75z","Aut Bogotá - Medellín, Km 1.87 El Rosal - Entrada Sur Sn Fco, , Tierra Grata, Facatativá, Cundinamarca")</f>
        <v>Aut Bogotá - Medellín, Km 1.87 El Rosal - Entrada Sur Sn Fco, , Tierra Grata, Facatativá, Cundinamarca</v>
      </c>
      <c r="G911">
        <v>0</v>
      </c>
      <c r="H911">
        <v>138370</v>
      </c>
      <c r="I911">
        <v>-74.272469999999998</v>
      </c>
      <c r="J911">
        <v>4.8496800000000002</v>
      </c>
      <c r="K911" t="s">
        <v>23</v>
      </c>
      <c r="L911" s="1">
        <v>44615</v>
      </c>
      <c r="M911" s="2" t="s">
        <v>104</v>
      </c>
      <c r="N911" t="s">
        <v>20</v>
      </c>
      <c r="O911" t="s">
        <v>21</v>
      </c>
      <c r="P911" t="s">
        <v>22</v>
      </c>
    </row>
    <row r="912" spans="1:16" x14ac:dyDescent="0.25">
      <c r="A912" t="s">
        <v>16</v>
      </c>
      <c r="B912" t="s">
        <v>94</v>
      </c>
      <c r="C912" t="s">
        <v>18</v>
      </c>
      <c r="D912" s="1">
        <v>44615</v>
      </c>
      <c r="E912" s="2" t="s">
        <v>105</v>
      </c>
      <c r="F912" s="3" t="str">
        <f>HYPERLINK("https://maps.google.com/maps?q=4.84968,-74.27247&amp;ll=4.84968,-74.27247&amp;z=14.75z","Aut Bogotá - Medellín, Km 1.87 El Rosal - Entrada Sur Sn Fco, , Tierra Grata, Facatativá, Cundinamarca")</f>
        <v>Aut Bogotá - Medellín, Km 1.87 El Rosal - Entrada Sur Sn Fco, , Tierra Grata, Facatativá, Cundinamarca</v>
      </c>
      <c r="G912">
        <v>0</v>
      </c>
      <c r="H912">
        <v>138370</v>
      </c>
      <c r="I912">
        <v>-74.272469999999998</v>
      </c>
      <c r="J912">
        <v>4.8496800000000002</v>
      </c>
      <c r="K912" t="s">
        <v>23</v>
      </c>
      <c r="L912" s="1">
        <v>44615</v>
      </c>
      <c r="M912" s="2" t="s">
        <v>105</v>
      </c>
      <c r="N912" t="s">
        <v>20</v>
      </c>
      <c r="O912" t="s">
        <v>21</v>
      </c>
      <c r="P912" t="s">
        <v>22</v>
      </c>
    </row>
    <row r="913" spans="1:16" x14ac:dyDescent="0.25">
      <c r="A913" t="s">
        <v>16</v>
      </c>
      <c r="B913" t="s">
        <v>94</v>
      </c>
      <c r="C913" t="s">
        <v>18</v>
      </c>
      <c r="D913" s="1">
        <v>44615</v>
      </c>
      <c r="E913" s="2" t="s">
        <v>106</v>
      </c>
      <c r="F913" s="3" t="str">
        <f>HYPERLINK("https://maps.google.com/maps?q=4.84969,-74.27248&amp;ll=4.84969,-74.27248&amp;z=14.75z","Aut Bogotá - Medellín, Km 1.87 El Rosal - Entrada Sur Sn Fco, , Tierra Grata, Facatativá, Cundinamarca")</f>
        <v>Aut Bogotá - Medellín, Km 1.87 El Rosal - Entrada Sur Sn Fco, , Tierra Grata, Facatativá, Cundinamarca</v>
      </c>
      <c r="G913">
        <v>0</v>
      </c>
      <c r="H913">
        <v>138370</v>
      </c>
      <c r="I913">
        <v>-74.272480000000002</v>
      </c>
      <c r="J913">
        <v>4.8496899999999998</v>
      </c>
      <c r="K913" t="s">
        <v>23</v>
      </c>
      <c r="L913" s="1">
        <v>44615</v>
      </c>
      <c r="M913" s="2" t="s">
        <v>106</v>
      </c>
      <c r="N913" t="s">
        <v>20</v>
      </c>
      <c r="O913" t="s">
        <v>21</v>
      </c>
      <c r="P913" t="s">
        <v>22</v>
      </c>
    </row>
    <row r="914" spans="1:16" x14ac:dyDescent="0.25">
      <c r="A914" t="s">
        <v>16</v>
      </c>
      <c r="B914" t="s">
        <v>94</v>
      </c>
      <c r="C914" t="s">
        <v>18</v>
      </c>
      <c r="D914" s="1">
        <v>44615</v>
      </c>
      <c r="E914" s="2" t="s">
        <v>107</v>
      </c>
      <c r="F914" s="3" t="str">
        <f>HYPERLINK("https://maps.google.com/maps?q=4.84969,-74.27248&amp;ll=4.84969,-74.27248&amp;z=14.75z","Aut Bogotá - Medellín, Km 1.87 El Rosal - Entrada Sur Sn Fco, , Tierra Grata, Facatativá, Cundinamarca")</f>
        <v>Aut Bogotá - Medellín, Km 1.87 El Rosal - Entrada Sur Sn Fco, , Tierra Grata, Facatativá, Cundinamarca</v>
      </c>
      <c r="G914">
        <v>0</v>
      </c>
      <c r="H914">
        <v>138370</v>
      </c>
      <c r="I914">
        <v>-74.272480000000002</v>
      </c>
      <c r="J914">
        <v>4.8496899999999998</v>
      </c>
      <c r="K914" t="s">
        <v>23</v>
      </c>
      <c r="L914" s="1">
        <v>44615</v>
      </c>
      <c r="M914" s="2" t="s">
        <v>107</v>
      </c>
      <c r="N914" t="s">
        <v>20</v>
      </c>
      <c r="O914" t="s">
        <v>21</v>
      </c>
      <c r="P914" t="s">
        <v>22</v>
      </c>
    </row>
    <row r="915" spans="1:16" x14ac:dyDescent="0.25">
      <c r="A915" t="s">
        <v>16</v>
      </c>
      <c r="B915" t="s">
        <v>94</v>
      </c>
      <c r="C915" t="s">
        <v>18</v>
      </c>
      <c r="D915" s="1">
        <v>44615</v>
      </c>
      <c r="E915" s="2" t="s">
        <v>108</v>
      </c>
      <c r="F915" s="3" t="str">
        <f>HYPERLINK("https://maps.google.com/maps?q=4.84969,-74.27247&amp;ll=4.84969,-74.27247&amp;z=14.75z","Aut Bogotá - Medellín, Km 1.87 El Rosal - Entrada Sur Sn Fco, , Tierra Grata, Facatativá, Cundinamarca")</f>
        <v>Aut Bogotá - Medellín, Km 1.87 El Rosal - Entrada Sur Sn Fco, , Tierra Grata, Facatativá, Cundinamarca</v>
      </c>
      <c r="G915">
        <v>0</v>
      </c>
      <c r="H915">
        <v>138370</v>
      </c>
      <c r="I915">
        <v>-74.272469999999998</v>
      </c>
      <c r="J915">
        <v>4.8496899999999998</v>
      </c>
      <c r="K915" t="s">
        <v>23</v>
      </c>
      <c r="L915" s="1">
        <v>44615</v>
      </c>
      <c r="M915" s="2" t="s">
        <v>108</v>
      </c>
      <c r="N915" t="s">
        <v>20</v>
      </c>
      <c r="O915" t="s">
        <v>21</v>
      </c>
      <c r="P915" t="s">
        <v>22</v>
      </c>
    </row>
    <row r="916" spans="1:16" x14ac:dyDescent="0.25">
      <c r="A916" t="s">
        <v>16</v>
      </c>
      <c r="B916" t="s">
        <v>94</v>
      </c>
      <c r="C916" t="s">
        <v>18</v>
      </c>
      <c r="D916" s="1">
        <v>44615</v>
      </c>
      <c r="E916" s="2" t="s">
        <v>109</v>
      </c>
      <c r="F916" s="3" t="str">
        <f>HYPERLINK("https://maps.google.com/maps?q=4.84969,-74.27246&amp;ll=4.84969,-74.27246&amp;z=14.75z","Aut Bogotá - Medellín, Km 1.87 El Rosal - Entrada Sur Sn Fco, , Tierra Grata, Facatativá, Cundinamarca")</f>
        <v>Aut Bogotá - Medellín, Km 1.87 El Rosal - Entrada Sur Sn Fco, , Tierra Grata, Facatativá, Cundinamarca</v>
      </c>
      <c r="G916">
        <v>0</v>
      </c>
      <c r="H916">
        <v>138370</v>
      </c>
      <c r="I916">
        <v>-74.272459999999995</v>
      </c>
      <c r="J916">
        <v>4.8496899999999998</v>
      </c>
      <c r="K916" t="s">
        <v>23</v>
      </c>
      <c r="L916" s="1">
        <v>44615</v>
      </c>
      <c r="M916" s="2" t="s">
        <v>109</v>
      </c>
      <c r="N916" t="s">
        <v>20</v>
      </c>
      <c r="O916" t="s">
        <v>21</v>
      </c>
      <c r="P916" t="s">
        <v>22</v>
      </c>
    </row>
    <row r="917" spans="1:16" x14ac:dyDescent="0.25">
      <c r="A917" t="s">
        <v>16</v>
      </c>
      <c r="B917" t="s">
        <v>94</v>
      </c>
      <c r="C917" t="s">
        <v>18</v>
      </c>
      <c r="D917" s="1">
        <v>44615</v>
      </c>
      <c r="E917" s="2" t="s">
        <v>110</v>
      </c>
      <c r="F917" s="3" t="str">
        <f>HYPERLINK("https://maps.google.com/maps?q=4.84969,-74.27246&amp;ll=4.84969,-74.27246&amp;z=14.75z","Aut Bogotá - Medellín, Km 1.87 El Rosal - Entrada Sur Sn Fco, , Tierra Grata, Facatativá, Cundinamarca")</f>
        <v>Aut Bogotá - Medellín, Km 1.87 El Rosal - Entrada Sur Sn Fco, , Tierra Grata, Facatativá, Cundinamarca</v>
      </c>
      <c r="G917">
        <v>0</v>
      </c>
      <c r="H917">
        <v>138370</v>
      </c>
      <c r="I917">
        <v>-74.272459999999995</v>
      </c>
      <c r="J917">
        <v>4.8496899999999998</v>
      </c>
      <c r="K917" t="s">
        <v>23</v>
      </c>
      <c r="L917" s="1">
        <v>44615</v>
      </c>
      <c r="M917" s="2" t="s">
        <v>110</v>
      </c>
      <c r="N917" t="s">
        <v>20</v>
      </c>
      <c r="O917" t="s">
        <v>21</v>
      </c>
      <c r="P917" t="s">
        <v>22</v>
      </c>
    </row>
    <row r="918" spans="1:16" x14ac:dyDescent="0.25">
      <c r="A918" t="s">
        <v>16</v>
      </c>
      <c r="B918" t="s">
        <v>114</v>
      </c>
      <c r="C918" t="s">
        <v>18</v>
      </c>
      <c r="D918" s="1">
        <v>44615</v>
      </c>
      <c r="E918" s="2" t="s">
        <v>111</v>
      </c>
      <c r="F918" s="3" t="str">
        <f>HYPERLINK("https://maps.google.com/maps?q=4.84969,-74.27248&amp;ll=4.84969,-74.27248&amp;z=14.75z","Aut Bogotá - Medellín, Km 1.87 El Rosal - Entrada Sur Sn Fco, , Tierra Grata, Facatativá, Cundinamarca")</f>
        <v>Aut Bogotá - Medellín, Km 1.87 El Rosal - Entrada Sur Sn Fco, , Tierra Grata, Facatativá, Cundinamarca</v>
      </c>
      <c r="G918">
        <v>0</v>
      </c>
      <c r="H918">
        <v>138370</v>
      </c>
      <c r="I918">
        <v>-74.272480000000002</v>
      </c>
      <c r="J918">
        <v>4.8496899999999998</v>
      </c>
      <c r="K918" t="s">
        <v>23</v>
      </c>
      <c r="L918" s="1">
        <v>44615</v>
      </c>
      <c r="M918" s="2" t="s">
        <v>111</v>
      </c>
      <c r="N918" t="s">
        <v>20</v>
      </c>
      <c r="O918" t="s">
        <v>21</v>
      </c>
      <c r="P918" t="s">
        <v>22</v>
      </c>
    </row>
    <row r="919" spans="1:16" x14ac:dyDescent="0.25">
      <c r="A919" t="s">
        <v>16</v>
      </c>
      <c r="B919" t="s">
        <v>114</v>
      </c>
      <c r="C919" t="s">
        <v>115</v>
      </c>
      <c r="D919" s="1">
        <v>44615</v>
      </c>
      <c r="E919" s="2" t="s">
        <v>111</v>
      </c>
      <c r="F919" s="3" t="str">
        <f>HYPERLINK("https://maps.google.com/maps?q=4.84968,-74.27247&amp;ll=4.84968,-74.27247&amp;z=14.75z","Aut Bogotá - Medellín, Km 1.87 El Rosal - Entrada Sur Sn Fco, , Tierra Grata, Facatativá, Cundinamarca")</f>
        <v>Aut Bogotá - Medellín, Km 1.87 El Rosal - Entrada Sur Sn Fco, , Tierra Grata, Facatativá, Cundinamarca</v>
      </c>
      <c r="G919">
        <v>0</v>
      </c>
      <c r="H919">
        <v>138370</v>
      </c>
      <c r="I919">
        <v>-74.272469999999998</v>
      </c>
      <c r="J919">
        <v>4.8496800000000002</v>
      </c>
      <c r="K919" t="s">
        <v>23</v>
      </c>
      <c r="L919" s="1">
        <v>44615</v>
      </c>
      <c r="M919" s="2" t="s">
        <v>111</v>
      </c>
      <c r="N919" t="s">
        <v>20</v>
      </c>
      <c r="O919" t="s">
        <v>21</v>
      </c>
      <c r="P919" t="s">
        <v>22</v>
      </c>
    </row>
    <row r="920" spans="1:16" x14ac:dyDescent="0.25">
      <c r="A920" t="s">
        <v>16</v>
      </c>
      <c r="B920" t="s">
        <v>114</v>
      </c>
      <c r="C920" t="s">
        <v>186</v>
      </c>
      <c r="D920" s="1">
        <v>44615</v>
      </c>
      <c r="E920" s="2" t="s">
        <v>117</v>
      </c>
      <c r="F920" s="3" t="str">
        <f>HYPERLINK("https://maps.google.com/maps?q=4.84966,-74.27246&amp;ll=4.84966,-74.27246&amp;z=14.75z","Aut Bogotá - Medellín, Km 1.87 El Rosal - Entrada Sur Sn Fco, , Tierra Grata, Facatativá, Cundinamarca")</f>
        <v>Aut Bogotá - Medellín, Km 1.87 El Rosal - Entrada Sur Sn Fco, , Tierra Grata, Facatativá, Cundinamarca</v>
      </c>
      <c r="G920">
        <v>0</v>
      </c>
      <c r="H920">
        <v>138370</v>
      </c>
      <c r="I920">
        <v>-74.272459999999995</v>
      </c>
      <c r="J920">
        <v>4.8496600000000001</v>
      </c>
      <c r="K920" t="s">
        <v>24</v>
      </c>
      <c r="L920" s="1">
        <v>44615</v>
      </c>
      <c r="M920" s="2" t="s">
        <v>117</v>
      </c>
      <c r="N920" t="s">
        <v>20</v>
      </c>
      <c r="O920" t="s">
        <v>21</v>
      </c>
      <c r="P920" t="s">
        <v>22</v>
      </c>
    </row>
    <row r="921" spans="1:16" x14ac:dyDescent="0.25">
      <c r="A921" t="s">
        <v>16</v>
      </c>
      <c r="B921" t="s">
        <v>114</v>
      </c>
      <c r="C921" t="s">
        <v>186</v>
      </c>
      <c r="D921" s="1">
        <v>44615</v>
      </c>
      <c r="E921" s="2" t="s">
        <v>119</v>
      </c>
      <c r="F921" s="3" t="str">
        <f>HYPERLINK("https://maps.google.com/maps?q=4.84963,-74.27245&amp;ll=4.84963,-74.27245&amp;z=14.75z","Aut Bogotá - Medellín, Km 1.87 El Rosal - Entrada Sur Sn Fco, , Tierra Grata, Facatativá, Cundinamarca")</f>
        <v>Aut Bogotá - Medellín, Km 1.87 El Rosal - Entrada Sur Sn Fco, , Tierra Grata, Facatativá, Cundinamarca</v>
      </c>
      <c r="G921">
        <v>0</v>
      </c>
      <c r="H921">
        <v>138370</v>
      </c>
      <c r="I921">
        <v>-74.272450000000006</v>
      </c>
      <c r="J921">
        <v>4.8496300000000003</v>
      </c>
      <c r="K921" t="s">
        <v>24</v>
      </c>
      <c r="L921" s="1">
        <v>44615</v>
      </c>
      <c r="M921" s="2" t="s">
        <v>119</v>
      </c>
      <c r="N921" t="s">
        <v>20</v>
      </c>
      <c r="O921" t="s">
        <v>21</v>
      </c>
      <c r="P921" t="s">
        <v>22</v>
      </c>
    </row>
    <row r="922" spans="1:16" x14ac:dyDescent="0.25">
      <c r="A922" t="s">
        <v>16</v>
      </c>
      <c r="B922" t="s">
        <v>114</v>
      </c>
      <c r="C922" t="s">
        <v>186</v>
      </c>
      <c r="D922" s="1">
        <v>44615</v>
      </c>
      <c r="E922" s="2" t="s">
        <v>650</v>
      </c>
      <c r="F922" s="3" t="str">
        <f>HYPERLINK("https://maps.google.com/maps?q=4.84961,-74.27249&amp;ll=4.84961,-74.27249&amp;z=14.75z","Aut Bogotá - Medellín, Km 1.87 El Rosal - Entrada Sur Sn Fco, , Tierra Grata, Facatativá, Cundinamarca")</f>
        <v>Aut Bogotá - Medellín, Km 1.87 El Rosal - Entrada Sur Sn Fco, , Tierra Grata, Facatativá, Cundinamarca</v>
      </c>
      <c r="G922">
        <v>2</v>
      </c>
      <c r="H922">
        <v>138370</v>
      </c>
      <c r="I922">
        <v>-74.272490000000005</v>
      </c>
      <c r="J922">
        <v>4.8496100000000002</v>
      </c>
      <c r="K922" t="s">
        <v>30</v>
      </c>
      <c r="L922" s="1">
        <v>44615</v>
      </c>
      <c r="M922" s="2" t="s">
        <v>650</v>
      </c>
      <c r="N922" t="s">
        <v>20</v>
      </c>
      <c r="O922" t="s">
        <v>21</v>
      </c>
      <c r="P922" t="s">
        <v>22</v>
      </c>
    </row>
    <row r="923" spans="1:16" x14ac:dyDescent="0.25">
      <c r="A923" t="s">
        <v>16</v>
      </c>
      <c r="B923" t="s">
        <v>114</v>
      </c>
      <c r="C923" t="s">
        <v>186</v>
      </c>
      <c r="D923" s="1">
        <v>44615</v>
      </c>
      <c r="E923" s="2" t="s">
        <v>123</v>
      </c>
      <c r="F923" s="3" t="str">
        <f>HYPERLINK("https://maps.google.com/maps?q=4.84965,-74.27251&amp;ll=4.84965,-74.27251&amp;z=14.75z","Aut Bogotá - Medellín, Km 1.87 El Rosal - Entrada Sur Sn Fco, , Tierra Grata, Facatativá, Cundinamarca")</f>
        <v>Aut Bogotá - Medellín, Km 1.87 El Rosal - Entrada Sur Sn Fco, , Tierra Grata, Facatativá, Cundinamarca</v>
      </c>
      <c r="G923">
        <v>0</v>
      </c>
      <c r="H923">
        <v>138370</v>
      </c>
      <c r="I923">
        <v>-74.272509999999997</v>
      </c>
      <c r="J923">
        <v>4.8496499999999996</v>
      </c>
      <c r="K923" t="s">
        <v>23</v>
      </c>
      <c r="L923" s="1">
        <v>44615</v>
      </c>
      <c r="M923" s="2" t="s">
        <v>123</v>
      </c>
      <c r="N923" t="s">
        <v>20</v>
      </c>
      <c r="O923" t="s">
        <v>21</v>
      </c>
      <c r="P923" t="s">
        <v>22</v>
      </c>
    </row>
    <row r="924" spans="1:16" x14ac:dyDescent="0.25">
      <c r="A924" t="s">
        <v>16</v>
      </c>
      <c r="B924" t="s">
        <v>114</v>
      </c>
      <c r="C924" t="s">
        <v>193</v>
      </c>
      <c r="D924" s="1">
        <v>44615</v>
      </c>
      <c r="E924" s="2" t="s">
        <v>125</v>
      </c>
      <c r="F924" s="3" t="str">
        <f>HYPERLINK("https://maps.google.com/maps?q=4.84958,-74.2725&amp;ll=4.84958,-74.2725&amp;z=14.75z","Aut Bogotá - Medellín, Km 1.87 El Rosal - Entrada Sur Sn Fco, , Tierra Grata, Facatativá, Cundinamarca")</f>
        <v>Aut Bogotá - Medellín, Km 1.87 El Rosal - Entrada Sur Sn Fco, , Tierra Grata, Facatativá, Cundinamarca</v>
      </c>
      <c r="G924">
        <v>0</v>
      </c>
      <c r="H924">
        <v>138370</v>
      </c>
      <c r="I924">
        <v>-74.272499999999994</v>
      </c>
      <c r="J924">
        <v>4.8495799999999996</v>
      </c>
      <c r="K924" t="s">
        <v>31</v>
      </c>
      <c r="L924" s="1">
        <v>44615</v>
      </c>
      <c r="M924" s="2" t="s">
        <v>125</v>
      </c>
      <c r="N924" t="s">
        <v>20</v>
      </c>
      <c r="O924" t="s">
        <v>21</v>
      </c>
      <c r="P924" t="s">
        <v>22</v>
      </c>
    </row>
    <row r="925" spans="1:16" x14ac:dyDescent="0.25">
      <c r="A925" t="s">
        <v>16</v>
      </c>
      <c r="B925" t="s">
        <v>114</v>
      </c>
      <c r="C925" t="s">
        <v>193</v>
      </c>
      <c r="D925" s="1">
        <v>44615</v>
      </c>
      <c r="E925" s="2" t="s">
        <v>126</v>
      </c>
      <c r="F925" s="3" t="str">
        <f>HYPERLINK("https://maps.google.com/maps?q=4.84962,-74.2725&amp;ll=4.84962,-74.2725&amp;z=14.75z","Aut Bogotá - Medellín, Km 1.87 El Rosal - Entrada Sur Sn Fco, , Tierra Grata, Facatativá, Cundinamarca")</f>
        <v>Aut Bogotá - Medellín, Km 1.87 El Rosal - Entrada Sur Sn Fco, , Tierra Grata, Facatativá, Cundinamarca</v>
      </c>
      <c r="G925">
        <v>0</v>
      </c>
      <c r="H925">
        <v>138370</v>
      </c>
      <c r="I925">
        <v>-74.272499999999994</v>
      </c>
      <c r="J925">
        <v>4.8496199999999998</v>
      </c>
      <c r="K925" t="s">
        <v>41</v>
      </c>
      <c r="L925" s="1">
        <v>44615</v>
      </c>
      <c r="M925" s="2" t="s">
        <v>126</v>
      </c>
      <c r="N925" t="s">
        <v>20</v>
      </c>
      <c r="O925" t="s">
        <v>21</v>
      </c>
      <c r="P925" t="s">
        <v>22</v>
      </c>
    </row>
    <row r="926" spans="1:16" x14ac:dyDescent="0.25">
      <c r="A926" t="s">
        <v>16</v>
      </c>
      <c r="B926" t="s">
        <v>114</v>
      </c>
      <c r="C926" t="s">
        <v>186</v>
      </c>
      <c r="D926" s="1">
        <v>44615</v>
      </c>
      <c r="E926" s="2" t="s">
        <v>128</v>
      </c>
      <c r="F926" s="3" t="str">
        <f>HYPERLINK("https://maps.google.com/maps?q=4.84962,-74.27249&amp;ll=4.84962,-74.27249&amp;z=14.75z","Aut Bogotá - Medellín, Km 1.87 El Rosal - Entrada Sur Sn Fco, , Tierra Grata, Facatativá, Cundinamarca")</f>
        <v>Aut Bogotá - Medellín, Km 1.87 El Rosal - Entrada Sur Sn Fco, , Tierra Grata, Facatativá, Cundinamarca</v>
      </c>
      <c r="G926">
        <v>0</v>
      </c>
      <c r="H926">
        <v>138370</v>
      </c>
      <c r="I926">
        <v>-74.272490000000005</v>
      </c>
      <c r="J926">
        <v>4.8496199999999998</v>
      </c>
      <c r="K926" t="s">
        <v>24</v>
      </c>
      <c r="L926" s="1">
        <v>44615</v>
      </c>
      <c r="M926" s="2" t="s">
        <v>128</v>
      </c>
      <c r="N926" t="s">
        <v>20</v>
      </c>
      <c r="O926" t="s">
        <v>21</v>
      </c>
      <c r="P926" t="s">
        <v>22</v>
      </c>
    </row>
    <row r="927" spans="1:16" x14ac:dyDescent="0.25">
      <c r="A927" t="s">
        <v>16</v>
      </c>
      <c r="B927" t="s">
        <v>114</v>
      </c>
      <c r="C927" t="s">
        <v>193</v>
      </c>
      <c r="D927" s="1">
        <v>44615</v>
      </c>
      <c r="E927" s="2" t="s">
        <v>129</v>
      </c>
      <c r="F927" s="3" t="str">
        <f>HYPERLINK("https://maps.google.com/maps?q=4.84962,-74.27249&amp;ll=4.84962,-74.27249&amp;z=14.75z","Aut Bogotá - Medellín, Km 1.87 El Rosal - Entrada Sur Sn Fco, , Tierra Grata, Facatativá, Cundinamarca")</f>
        <v>Aut Bogotá - Medellín, Km 1.87 El Rosal - Entrada Sur Sn Fco, , Tierra Grata, Facatativá, Cundinamarca</v>
      </c>
      <c r="G927">
        <v>0</v>
      </c>
      <c r="H927">
        <v>138370</v>
      </c>
      <c r="I927">
        <v>-74.272490000000005</v>
      </c>
      <c r="J927">
        <v>4.8496199999999998</v>
      </c>
      <c r="K927" t="s">
        <v>24</v>
      </c>
      <c r="L927" s="1">
        <v>44615</v>
      </c>
      <c r="M927" s="2" t="s">
        <v>130</v>
      </c>
      <c r="N927" t="s">
        <v>20</v>
      </c>
      <c r="O927" t="s">
        <v>21</v>
      </c>
      <c r="P927" t="s">
        <v>22</v>
      </c>
    </row>
    <row r="928" spans="1:16" x14ac:dyDescent="0.25">
      <c r="A928" t="s">
        <v>16</v>
      </c>
      <c r="B928" t="s">
        <v>114</v>
      </c>
      <c r="C928" t="s">
        <v>186</v>
      </c>
      <c r="D928" s="1">
        <v>44615</v>
      </c>
      <c r="E928" s="2" t="s">
        <v>146</v>
      </c>
      <c r="F928" s="3" t="str">
        <f>HYPERLINK("https://maps.google.com/maps?q=4.84962,-74.2725&amp;ll=4.84962,-74.2725&amp;z=14.75z","Aut Bogotá - Medellín, Km 1.87 El Rosal - Entrada Sur Sn Fco, , Tierra Grata, Facatativá, Cundinamarca")</f>
        <v>Aut Bogotá - Medellín, Km 1.87 El Rosal - Entrada Sur Sn Fco, , Tierra Grata, Facatativá, Cundinamarca</v>
      </c>
      <c r="G928">
        <v>0</v>
      </c>
      <c r="H928">
        <v>138370</v>
      </c>
      <c r="I928">
        <v>-74.272499999999994</v>
      </c>
      <c r="J928">
        <v>4.8496199999999998</v>
      </c>
      <c r="K928" t="s">
        <v>24</v>
      </c>
      <c r="L928" s="1">
        <v>44615</v>
      </c>
      <c r="M928" s="2" t="s">
        <v>147</v>
      </c>
      <c r="N928" t="s">
        <v>20</v>
      </c>
      <c r="O928" t="s">
        <v>21</v>
      </c>
      <c r="P928" t="s">
        <v>22</v>
      </c>
    </row>
    <row r="929" spans="1:16" x14ac:dyDescent="0.25">
      <c r="A929" t="s">
        <v>16</v>
      </c>
      <c r="B929" t="s">
        <v>114</v>
      </c>
      <c r="C929" t="s">
        <v>193</v>
      </c>
      <c r="D929" s="1">
        <v>44615</v>
      </c>
      <c r="E929" s="2" t="s">
        <v>174</v>
      </c>
      <c r="F929" s="3" t="str">
        <f>HYPERLINK("https://maps.google.com/maps?q=4.84962,-74.27247&amp;ll=4.84962,-74.27247&amp;z=14.75z","Aut Bogotá - Medellín, Km 1.87 El Rosal - Entrada Sur Sn Fco, , Tierra Grata, Facatativá, Cundinamarca")</f>
        <v>Aut Bogotá - Medellín, Km 1.87 El Rosal - Entrada Sur Sn Fco, , Tierra Grata, Facatativá, Cundinamarca</v>
      </c>
      <c r="G929">
        <v>0</v>
      </c>
      <c r="H929">
        <v>138370</v>
      </c>
      <c r="I929">
        <v>-74.272469999999998</v>
      </c>
      <c r="J929">
        <v>4.8496199999999998</v>
      </c>
      <c r="K929" t="s">
        <v>30</v>
      </c>
      <c r="L929" s="1">
        <v>44615</v>
      </c>
      <c r="M929" s="2" t="s">
        <v>174</v>
      </c>
      <c r="N929" t="s">
        <v>20</v>
      </c>
      <c r="O929" t="s">
        <v>21</v>
      </c>
      <c r="P929" t="s">
        <v>22</v>
      </c>
    </row>
    <row r="930" spans="1:16" x14ac:dyDescent="0.25">
      <c r="A930" t="s">
        <v>16</v>
      </c>
      <c r="B930" t="s">
        <v>114</v>
      </c>
      <c r="C930" t="s">
        <v>193</v>
      </c>
      <c r="D930" s="1">
        <v>44615</v>
      </c>
      <c r="E930" s="2" t="s">
        <v>178</v>
      </c>
      <c r="F930" s="3" t="str">
        <f>HYPERLINK("https://maps.google.com/maps?q=4.84963,-74.27246&amp;ll=4.84963,-74.27246&amp;z=14.75z","Aut Bogotá - Medellín, Km 1.87 El Rosal - Entrada Sur Sn Fco, , Tierra Grata, Facatativá, Cundinamarca")</f>
        <v>Aut Bogotá - Medellín, Km 1.87 El Rosal - Entrada Sur Sn Fco, , Tierra Grata, Facatativá, Cundinamarca</v>
      </c>
      <c r="G930">
        <v>1</v>
      </c>
      <c r="H930">
        <v>138370</v>
      </c>
      <c r="I930">
        <v>-74.272459999999995</v>
      </c>
      <c r="J930">
        <v>4.8496300000000003</v>
      </c>
      <c r="K930" t="s">
        <v>33</v>
      </c>
      <c r="L930" s="1">
        <v>44615</v>
      </c>
      <c r="M930" s="2" t="s">
        <v>178</v>
      </c>
      <c r="N930" t="s">
        <v>20</v>
      </c>
      <c r="O930" t="s">
        <v>21</v>
      </c>
      <c r="P930" t="s">
        <v>22</v>
      </c>
    </row>
    <row r="931" spans="1:16" x14ac:dyDescent="0.25">
      <c r="A931" t="s">
        <v>16</v>
      </c>
      <c r="B931" t="s">
        <v>114</v>
      </c>
      <c r="C931" t="s">
        <v>193</v>
      </c>
      <c r="D931" s="1">
        <v>44615</v>
      </c>
      <c r="E931" s="2" t="s">
        <v>185</v>
      </c>
      <c r="F931" s="3" t="str">
        <f>HYPERLINK("https://maps.google.com/maps?q=4.84961,-74.27248&amp;ll=4.84961,-74.27248&amp;z=14.75z","Aut Bogotá - Medellín, Km 1.87 El Rosal - Entrada Sur Sn Fco, , Tierra Grata, Facatativá, Cundinamarca")</f>
        <v>Aut Bogotá - Medellín, Km 1.87 El Rosal - Entrada Sur Sn Fco, , Tierra Grata, Facatativá, Cundinamarca</v>
      </c>
      <c r="G931">
        <v>0</v>
      </c>
      <c r="H931">
        <v>138370</v>
      </c>
      <c r="I931">
        <v>-74.272480000000002</v>
      </c>
      <c r="J931">
        <v>4.8496100000000002</v>
      </c>
      <c r="K931" t="s">
        <v>31</v>
      </c>
      <c r="L931" s="1">
        <v>44615</v>
      </c>
      <c r="M931" s="2" t="s">
        <v>185</v>
      </c>
      <c r="N931" t="s">
        <v>20</v>
      </c>
      <c r="O931" t="s">
        <v>21</v>
      </c>
      <c r="P931" t="s">
        <v>22</v>
      </c>
    </row>
    <row r="932" spans="1:16" x14ac:dyDescent="0.25">
      <c r="A932" t="s">
        <v>16</v>
      </c>
      <c r="B932" t="s">
        <v>114</v>
      </c>
      <c r="C932" t="s">
        <v>186</v>
      </c>
      <c r="D932" s="1">
        <v>44615</v>
      </c>
      <c r="E932" s="2" t="s">
        <v>652</v>
      </c>
      <c r="F932" s="3" t="str">
        <f>HYPERLINK("https://maps.google.com/maps?q=4.84954,-74.27253&amp;ll=4.84954,-74.27253&amp;z=14.75z","Aut Bogotá - Medellín, Km 1.87 El Rosal - Entrada Sur Sn Fco, , Tierra Grata, Facatativá, Cundinamarca")</f>
        <v>Aut Bogotá - Medellín, Km 1.87 El Rosal - Entrada Sur Sn Fco, , Tierra Grata, Facatativá, Cundinamarca</v>
      </c>
      <c r="G932">
        <v>0</v>
      </c>
      <c r="H932">
        <v>138370</v>
      </c>
      <c r="I932">
        <v>-74.272530000000003</v>
      </c>
      <c r="J932">
        <v>4.8495400000000002</v>
      </c>
      <c r="K932" t="s">
        <v>31</v>
      </c>
      <c r="L932" s="1">
        <v>44615</v>
      </c>
      <c r="M932" s="2" t="s">
        <v>652</v>
      </c>
      <c r="N932" t="s">
        <v>20</v>
      </c>
      <c r="O932" t="s">
        <v>21</v>
      </c>
      <c r="P932" t="s">
        <v>22</v>
      </c>
    </row>
    <row r="933" spans="1:16" x14ac:dyDescent="0.25">
      <c r="A933" t="s">
        <v>16</v>
      </c>
      <c r="B933" t="s">
        <v>114</v>
      </c>
      <c r="C933" t="s">
        <v>186</v>
      </c>
      <c r="D933" s="1">
        <v>44615</v>
      </c>
      <c r="E933" s="2" t="s">
        <v>187</v>
      </c>
      <c r="F933" s="3" t="str">
        <f>HYPERLINK("https://maps.google.com/maps?q=4.84959,-74.27251&amp;ll=4.84959,-74.27251&amp;z=14.75z","Aut Bogotá - Medellín, Km 1.87 El Rosal - Entrada Sur Sn Fco, , Tierra Grata, Facatativá, Cundinamarca")</f>
        <v>Aut Bogotá - Medellín, Km 1.87 El Rosal - Entrada Sur Sn Fco, , Tierra Grata, Facatativá, Cundinamarca</v>
      </c>
      <c r="G933">
        <v>0</v>
      </c>
      <c r="H933">
        <v>138370</v>
      </c>
      <c r="I933">
        <v>-74.272509999999997</v>
      </c>
      <c r="J933">
        <v>4.8495900000000001</v>
      </c>
      <c r="K933" t="s">
        <v>33</v>
      </c>
      <c r="L933" s="1">
        <v>44615</v>
      </c>
      <c r="M933" s="2" t="s">
        <v>187</v>
      </c>
      <c r="N933" t="s">
        <v>20</v>
      </c>
      <c r="O933" t="s">
        <v>21</v>
      </c>
      <c r="P933" t="s">
        <v>22</v>
      </c>
    </row>
    <row r="934" spans="1:16" x14ac:dyDescent="0.25">
      <c r="A934" t="s">
        <v>16</v>
      </c>
      <c r="B934" t="s">
        <v>114</v>
      </c>
      <c r="C934" t="s">
        <v>186</v>
      </c>
      <c r="D934" s="1">
        <v>44615</v>
      </c>
      <c r="E934" s="2" t="s">
        <v>844</v>
      </c>
      <c r="F934" s="3" t="str">
        <f>HYPERLINK("https://maps.google.com/maps?q=4.84962,-74.27251&amp;ll=4.84962,-74.27251&amp;z=14.75z","Aut Bogotá - Medellín, Km 1.87 El Rosal - Entrada Sur Sn Fco, , Tierra Grata, Facatativá, Cundinamarca")</f>
        <v>Aut Bogotá - Medellín, Km 1.87 El Rosal - Entrada Sur Sn Fco, , Tierra Grata, Facatativá, Cundinamarca</v>
      </c>
      <c r="G934">
        <v>0</v>
      </c>
      <c r="H934">
        <v>138370</v>
      </c>
      <c r="I934">
        <v>-74.272509999999997</v>
      </c>
      <c r="J934">
        <v>4.8496199999999998</v>
      </c>
      <c r="K934" t="s">
        <v>31</v>
      </c>
      <c r="L934" s="1">
        <v>44615</v>
      </c>
      <c r="M934" s="2" t="s">
        <v>844</v>
      </c>
      <c r="N934" t="s">
        <v>20</v>
      </c>
      <c r="O934" t="s">
        <v>21</v>
      </c>
      <c r="P934" t="s">
        <v>22</v>
      </c>
    </row>
    <row r="935" spans="1:16" x14ac:dyDescent="0.25">
      <c r="A935" t="s">
        <v>16</v>
      </c>
      <c r="B935" t="s">
        <v>114</v>
      </c>
      <c r="C935" t="s">
        <v>186</v>
      </c>
      <c r="D935" s="1">
        <v>44615</v>
      </c>
      <c r="E935" s="2" t="s">
        <v>189</v>
      </c>
      <c r="F935" s="3" t="str">
        <f>HYPERLINK("https://maps.google.com/maps?q=4.84958,-74.2725&amp;ll=4.84958,-74.2725&amp;z=14.75z","Aut Bogotá - Medellín, Km 1.87 El Rosal - Entrada Sur Sn Fco, , Tierra Grata, Facatativá, Cundinamarca")</f>
        <v>Aut Bogotá - Medellín, Km 1.87 El Rosal - Entrada Sur Sn Fco, , Tierra Grata, Facatativá, Cundinamarca</v>
      </c>
      <c r="G935">
        <v>0</v>
      </c>
      <c r="H935">
        <v>138370</v>
      </c>
      <c r="I935">
        <v>-74.272499999999994</v>
      </c>
      <c r="J935">
        <v>4.8495799999999996</v>
      </c>
      <c r="K935" t="s">
        <v>31</v>
      </c>
      <c r="L935" s="1">
        <v>44615</v>
      </c>
      <c r="M935" s="2" t="s">
        <v>189</v>
      </c>
      <c r="N935" t="s">
        <v>20</v>
      </c>
      <c r="O935" t="s">
        <v>21</v>
      </c>
      <c r="P935" t="s">
        <v>22</v>
      </c>
    </row>
    <row r="936" spans="1:16" x14ac:dyDescent="0.25">
      <c r="A936" t="s">
        <v>16</v>
      </c>
      <c r="B936" t="s">
        <v>114</v>
      </c>
      <c r="C936" t="s">
        <v>193</v>
      </c>
      <c r="D936" s="1">
        <v>44615</v>
      </c>
      <c r="E936" s="2" t="s">
        <v>190</v>
      </c>
      <c r="F936" s="3" t="str">
        <f>HYPERLINK("https://maps.google.com/maps?q=4.8496,-74.27249&amp;ll=4.8496,-74.27249&amp;z=14.75z","Aut Bogotá - Medellín, Km 1.87 El Rosal - Entrada Sur Sn Fco, , Tierra Grata, Facatativá, Cundinamarca")</f>
        <v>Aut Bogotá - Medellín, Km 1.87 El Rosal - Entrada Sur Sn Fco, , Tierra Grata, Facatativá, Cundinamarca</v>
      </c>
      <c r="G936">
        <v>0</v>
      </c>
      <c r="H936">
        <v>138370</v>
      </c>
      <c r="I936">
        <v>-74.272490000000005</v>
      </c>
      <c r="J936">
        <v>4.8495999999999997</v>
      </c>
      <c r="K936" t="s">
        <v>31</v>
      </c>
      <c r="L936" s="1">
        <v>44615</v>
      </c>
      <c r="M936" s="2" t="s">
        <v>190</v>
      </c>
      <c r="N936" t="s">
        <v>20</v>
      </c>
      <c r="O936" t="s">
        <v>21</v>
      </c>
      <c r="P936" t="s">
        <v>22</v>
      </c>
    </row>
    <row r="937" spans="1:16" x14ac:dyDescent="0.25">
      <c r="A937" t="s">
        <v>16</v>
      </c>
      <c r="B937" t="s">
        <v>114</v>
      </c>
      <c r="C937" t="s">
        <v>193</v>
      </c>
      <c r="D937" s="1">
        <v>44615</v>
      </c>
      <c r="E937" s="2" t="s">
        <v>191</v>
      </c>
      <c r="F937" s="3" t="str">
        <f>HYPERLINK("https://maps.google.com/maps?q=4.8496,-74.27249&amp;ll=4.8496,-74.27249&amp;z=14.75z","Aut Bogotá - Medellín, Km 1.87 El Rosal - Entrada Sur Sn Fco, , Tierra Grata, Facatativá, Cundinamarca")</f>
        <v>Aut Bogotá - Medellín, Km 1.87 El Rosal - Entrada Sur Sn Fco, , Tierra Grata, Facatativá, Cundinamarca</v>
      </c>
      <c r="G937">
        <v>0</v>
      </c>
      <c r="H937">
        <v>138370</v>
      </c>
      <c r="I937">
        <v>-74.272490000000005</v>
      </c>
      <c r="J937">
        <v>4.8495999999999997</v>
      </c>
      <c r="K937" t="s">
        <v>31</v>
      </c>
      <c r="L937" s="1">
        <v>44615</v>
      </c>
      <c r="M937" s="2" t="s">
        <v>191</v>
      </c>
      <c r="N937" t="s">
        <v>20</v>
      </c>
      <c r="O937" t="s">
        <v>21</v>
      </c>
      <c r="P937" t="s">
        <v>22</v>
      </c>
    </row>
    <row r="938" spans="1:16" x14ac:dyDescent="0.25">
      <c r="A938" t="s">
        <v>16</v>
      </c>
      <c r="B938" t="s">
        <v>114</v>
      </c>
      <c r="C938" t="s">
        <v>193</v>
      </c>
      <c r="D938" s="1">
        <v>44615</v>
      </c>
      <c r="E938" s="2" t="s">
        <v>845</v>
      </c>
      <c r="F938" s="3" t="str">
        <f>HYPERLINK("https://maps.google.com/maps?q=4.8496,-74.27249&amp;ll=4.8496,-74.27249&amp;z=14.75z","Aut Bogotá - Medellín, Km 1.87 El Rosal - Entrada Sur Sn Fco, , Tierra Grata, Facatativá, Cundinamarca")</f>
        <v>Aut Bogotá - Medellín, Km 1.87 El Rosal - Entrada Sur Sn Fco, , Tierra Grata, Facatativá, Cundinamarca</v>
      </c>
      <c r="G938">
        <v>0</v>
      </c>
      <c r="H938">
        <v>138370</v>
      </c>
      <c r="I938">
        <v>-74.272490000000005</v>
      </c>
      <c r="J938">
        <v>4.8495999999999997</v>
      </c>
      <c r="K938" t="s">
        <v>31</v>
      </c>
      <c r="L938" s="1">
        <v>44615</v>
      </c>
      <c r="M938" s="2" t="s">
        <v>845</v>
      </c>
      <c r="N938" t="s">
        <v>20</v>
      </c>
      <c r="O938" t="s">
        <v>21</v>
      </c>
      <c r="P938" t="s">
        <v>22</v>
      </c>
    </row>
    <row r="939" spans="1:16" x14ac:dyDescent="0.25">
      <c r="A939" t="s">
        <v>16</v>
      </c>
      <c r="B939" t="s">
        <v>114</v>
      </c>
      <c r="C939" t="s">
        <v>193</v>
      </c>
      <c r="D939" s="1">
        <v>44615</v>
      </c>
      <c r="E939" s="2" t="s">
        <v>846</v>
      </c>
      <c r="F939" s="3" t="str">
        <f>HYPERLINK("https://maps.google.com/maps?q=4.84961,-74.27249&amp;ll=4.84961,-74.27249&amp;z=14.75z","Aut Bogotá - Medellín, Km 1.87 El Rosal - Entrada Sur Sn Fco, , Tierra Grata, Facatativá, Cundinamarca")</f>
        <v>Aut Bogotá - Medellín, Km 1.87 El Rosal - Entrada Sur Sn Fco, , Tierra Grata, Facatativá, Cundinamarca</v>
      </c>
      <c r="G939">
        <v>0</v>
      </c>
      <c r="H939">
        <v>138370</v>
      </c>
      <c r="I939">
        <v>-74.272490000000005</v>
      </c>
      <c r="J939">
        <v>4.8496100000000002</v>
      </c>
      <c r="K939" t="s">
        <v>31</v>
      </c>
      <c r="L939" s="1">
        <v>44615</v>
      </c>
      <c r="M939" s="2" t="s">
        <v>847</v>
      </c>
      <c r="N939" t="s">
        <v>20</v>
      </c>
      <c r="O939" t="s">
        <v>21</v>
      </c>
      <c r="P939" t="s">
        <v>22</v>
      </c>
    </row>
    <row r="940" spans="1:16" x14ac:dyDescent="0.25">
      <c r="A940" t="s">
        <v>16</v>
      </c>
      <c r="B940" t="s">
        <v>114</v>
      </c>
      <c r="C940" t="s">
        <v>193</v>
      </c>
      <c r="D940" s="1">
        <v>44615</v>
      </c>
      <c r="E940" s="2" t="s">
        <v>848</v>
      </c>
      <c r="F940" s="3" t="str">
        <f>HYPERLINK("https://maps.google.com/maps?q=4.84962,-74.27248&amp;ll=4.84962,-74.27248&amp;z=14.75z","Aut Bogotá - Medellín, Km 1.87 El Rosal - Entrada Sur Sn Fco, , Tierra Grata, Facatativá, Cundinamarca")</f>
        <v>Aut Bogotá - Medellín, Km 1.87 El Rosal - Entrada Sur Sn Fco, , Tierra Grata, Facatativá, Cundinamarca</v>
      </c>
      <c r="G940">
        <v>0</v>
      </c>
      <c r="H940">
        <v>138370</v>
      </c>
      <c r="I940">
        <v>-74.272480000000002</v>
      </c>
      <c r="J940">
        <v>4.8496199999999998</v>
      </c>
      <c r="K940" t="s">
        <v>31</v>
      </c>
      <c r="L940" s="1">
        <v>44615</v>
      </c>
      <c r="M940" s="2" t="s">
        <v>848</v>
      </c>
      <c r="N940" t="s">
        <v>20</v>
      </c>
      <c r="O940" t="s">
        <v>21</v>
      </c>
      <c r="P940" t="s">
        <v>22</v>
      </c>
    </row>
    <row r="941" spans="1:16" x14ac:dyDescent="0.25">
      <c r="A941" t="s">
        <v>16</v>
      </c>
      <c r="B941" t="s">
        <v>114</v>
      </c>
      <c r="C941" t="s">
        <v>193</v>
      </c>
      <c r="D941" s="1">
        <v>44615</v>
      </c>
      <c r="E941" s="2" t="s">
        <v>772</v>
      </c>
      <c r="F941" s="3" t="str">
        <f>HYPERLINK("https://maps.google.com/maps?q=4.8496,-74.27248&amp;ll=4.8496,-74.27248&amp;z=14.75z","Aut Bogotá - Medellín, Km 1.87 El Rosal - Entrada Sur Sn Fco, , Tierra Grata, Facatativá, Cundinamarca")</f>
        <v>Aut Bogotá - Medellín, Km 1.87 El Rosal - Entrada Sur Sn Fco, , Tierra Grata, Facatativá, Cundinamarca</v>
      </c>
      <c r="G941">
        <v>0</v>
      </c>
      <c r="H941">
        <v>138370</v>
      </c>
      <c r="I941">
        <v>-74.272480000000002</v>
      </c>
      <c r="J941">
        <v>4.8495999999999997</v>
      </c>
      <c r="K941" t="s">
        <v>30</v>
      </c>
      <c r="L941" s="1">
        <v>44615</v>
      </c>
      <c r="M941" s="2" t="s">
        <v>772</v>
      </c>
      <c r="N941" t="s">
        <v>20</v>
      </c>
      <c r="O941" t="s">
        <v>21</v>
      </c>
      <c r="P941" t="s">
        <v>22</v>
      </c>
    </row>
  </sheetData>
  <autoFilter ref="A1:P941" xr:uid="{00000000-0009-0000-0000-000000000000}"/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Recorrido 02162022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 Paola Manrique</dc:creator>
  <cp:lastModifiedBy>Yeni Paola Manrique</cp:lastModifiedBy>
  <dcterms:created xsi:type="dcterms:W3CDTF">2022-02-23T16:26:38Z</dcterms:created>
  <dcterms:modified xsi:type="dcterms:W3CDTF">2022-02-23T16:32:10Z</dcterms:modified>
</cp:coreProperties>
</file>