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idariacomco.sharepoint.com/sites/vFInversiones/gContabilidad/Impuestos/REQUERIMIENTOS/YUDI CAJAMARCA 2020/MEDELLIN/2019/"/>
    </mc:Choice>
  </mc:AlternateContent>
  <xr:revisionPtr revIDLastSave="49" documentId="8_{BC9D1E83-78B1-4218-B5AD-E082AC1885DF}" xr6:coauthVersionLast="47" xr6:coauthVersionMax="47" xr10:uidLastSave="{A03AD697-7224-4DC7-B156-D9A591AF1129}"/>
  <bookViews>
    <workbookView xWindow="-120" yWindow="-120" windowWidth="29040" windowHeight="15720" activeTab="3" xr2:uid="{1A194B05-A4D8-4A71-BCAF-61A5CB31AB53}"/>
  </bookViews>
  <sheets>
    <sheet name="2019" sheetId="1" r:id="rId1"/>
    <sheet name="2020" sheetId="2" r:id="rId2"/>
    <sheet name="2021" sheetId="3" r:id="rId3"/>
    <sheet name="2022" sheetId="4" r:id="rId4"/>
  </sheets>
  <externalReferences>
    <externalReference r:id="rId5"/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4" l="1"/>
  <c r="D21" i="1"/>
  <c r="D23" i="2"/>
  <c r="D23" i="3"/>
  <c r="D23" i="4"/>
  <c r="E20" i="1"/>
  <c r="D20" i="1"/>
  <c r="E21" i="4" l="1"/>
  <c r="D24" i="4"/>
  <c r="D22" i="4"/>
  <c r="E21" i="3"/>
  <c r="D24" i="3"/>
  <c r="D22" i="3"/>
  <c r="D24" i="2"/>
  <c r="D22" i="2"/>
  <c r="L18" i="4"/>
  <c r="L17" i="4"/>
  <c r="L16" i="4"/>
  <c r="L15" i="4"/>
  <c r="D21" i="2"/>
  <c r="M19" i="4" l="1"/>
  <c r="L19" i="4"/>
  <c r="D18" i="1" l="1"/>
  <c r="D13" i="4"/>
  <c r="D13" i="2"/>
  <c r="D13" i="1"/>
  <c r="D13" i="3"/>
  <c r="D12" i="4"/>
  <c r="C32" i="4" l="1"/>
  <c r="E23" i="4"/>
  <c r="N18" i="4" s="1"/>
  <c r="E19" i="4"/>
  <c r="D15" i="4"/>
  <c r="E15" i="4" s="1"/>
  <c r="E12" i="4"/>
  <c r="E9" i="4"/>
  <c r="D8" i="4"/>
  <c r="E8" i="4" s="1"/>
  <c r="E7" i="4"/>
  <c r="D6" i="4"/>
  <c r="E6" i="4" s="1"/>
  <c r="C32" i="3"/>
  <c r="E10" i="3"/>
  <c r="D5" i="3"/>
  <c r="D6" i="3" s="1"/>
  <c r="E6" i="3" s="1"/>
  <c r="E23" i="3"/>
  <c r="N17" i="4" s="1"/>
  <c r="E19" i="3"/>
  <c r="D15" i="3"/>
  <c r="E15" i="3" s="1"/>
  <c r="D12" i="3"/>
  <c r="E9" i="3"/>
  <c r="D8" i="3"/>
  <c r="E8" i="3" s="1"/>
  <c r="E7" i="3"/>
  <c r="E24" i="4" l="1"/>
  <c r="O18" i="4"/>
  <c r="O17" i="4"/>
  <c r="E24" i="3"/>
  <c r="E13" i="4"/>
  <c r="E14" i="4" s="1"/>
  <c r="E16" i="4" s="1"/>
  <c r="E10" i="4"/>
  <c r="E5" i="4"/>
  <c r="D14" i="3"/>
  <c r="E13" i="3"/>
  <c r="E5" i="3"/>
  <c r="E12" i="3"/>
  <c r="D14" i="4" l="1"/>
  <c r="D16" i="4" s="1"/>
  <c r="E14" i="3"/>
  <c r="E16" i="3" s="1"/>
  <c r="D17" i="3"/>
  <c r="E17" i="3" s="1"/>
  <c r="D16" i="3"/>
  <c r="D17" i="4" l="1"/>
  <c r="E17" i="4" s="1"/>
  <c r="D18" i="3"/>
  <c r="C29" i="3" s="1"/>
  <c r="D18" i="4" l="1"/>
  <c r="D20" i="3"/>
  <c r="E18" i="3"/>
  <c r="E20" i="3" s="1"/>
  <c r="C29" i="4" l="1"/>
  <c r="D20" i="4"/>
  <c r="D21" i="4" s="1"/>
  <c r="E18" i="4"/>
  <c r="E20" i="4" s="1"/>
  <c r="D21" i="3"/>
  <c r="E22" i="4" l="1"/>
  <c r="L9" i="4" s="1"/>
  <c r="E22" i="3" l="1"/>
  <c r="L8" i="4" s="1"/>
  <c r="E23" i="2" l="1"/>
  <c r="N16" i="4" s="1"/>
  <c r="C32" i="2"/>
  <c r="E15" i="2"/>
  <c r="D15" i="2"/>
  <c r="D12" i="2"/>
  <c r="E19" i="2"/>
  <c r="E9" i="2"/>
  <c r="D8" i="2"/>
  <c r="E8" i="2" s="1"/>
  <c r="E7" i="2"/>
  <c r="D5" i="2"/>
  <c r="E5" i="2" s="1"/>
  <c r="E24" i="2" l="1"/>
  <c r="O16" i="4"/>
  <c r="D6" i="2"/>
  <c r="E6" i="2" s="1"/>
  <c r="E13" i="2"/>
  <c r="E10" i="2"/>
  <c r="E12" i="2"/>
  <c r="D14" i="2"/>
  <c r="E14" i="2" l="1"/>
  <c r="E16" i="2" s="1"/>
  <c r="D17" i="2"/>
  <c r="E17" i="2" s="1"/>
  <c r="D16" i="2"/>
  <c r="D18" i="2" l="1"/>
  <c r="C29" i="2" s="1"/>
  <c r="D20" i="2" l="1"/>
  <c r="E18" i="2"/>
  <c r="E20" i="2" s="1"/>
  <c r="E21" i="1" l="1"/>
  <c r="C30" i="1"/>
  <c r="E22" i="1" l="1"/>
  <c r="L6" i="4" s="1"/>
  <c r="N15" i="4"/>
  <c r="E21" i="2"/>
  <c r="D15" i="1"/>
  <c r="D12" i="1"/>
  <c r="E9" i="1"/>
  <c r="E7" i="1"/>
  <c r="D5" i="1"/>
  <c r="E5" i="1" s="1"/>
  <c r="N19" i="4" l="1"/>
  <c r="O15" i="4"/>
  <c r="O19" i="4" s="1"/>
  <c r="E22" i="2"/>
  <c r="L7" i="4" s="1"/>
  <c r="E15" i="1"/>
  <c r="D8" i="1"/>
  <c r="E8" i="1" s="1"/>
  <c r="D6" i="1"/>
  <c r="E6" i="1" s="1"/>
  <c r="E13" i="1" l="1"/>
  <c r="E12" i="1"/>
  <c r="D14" i="1" l="1"/>
  <c r="D17" i="1" s="1"/>
  <c r="E14" i="1"/>
  <c r="E16" i="1" s="1"/>
  <c r="D16" i="1" l="1"/>
  <c r="E17" i="1"/>
  <c r="D19" i="1" l="1"/>
  <c r="C27" i="1" l="1"/>
  <c r="E18" i="1"/>
  <c r="E19" i="1" l="1"/>
  <c r="D22" i="1" l="1"/>
  <c r="L10" i="4" l="1"/>
  <c r="O2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YUDI MARCELA CAJAMARCA</author>
  </authors>
  <commentList>
    <comment ref="B20" authorId="0" shapeId="0" xr:uid="{AEBF1FD3-886E-4613-8EE5-15034C11E4E2}">
      <text>
        <r>
          <rPr>
            <b/>
            <sz val="9"/>
            <color indexed="81"/>
            <rFont val="Tahoma"/>
            <family val="2"/>
          </rPr>
          <t>YUDI MARCELA CAJAMARCA:</t>
        </r>
        <r>
          <rPr>
            <sz val="9"/>
            <color indexed="81"/>
            <rFont val="Tahoma"/>
            <family val="2"/>
          </rPr>
          <t xml:space="preserve">
Art. 238. APLICACIÓN DE LOS PRINCIPIOS DE
LESIVIDAD, PROPORCIONALIDAD, GRADUALIDAD Y
FAVORABILIDAD EN El RÉGIMEN SANCIONATORIO
</t>
        </r>
      </text>
    </comment>
  </commentList>
</comments>
</file>

<file path=xl/sharedStrings.xml><?xml version="1.0" encoding="utf-8"?>
<sst xmlns="http://schemas.openxmlformats.org/spreadsheetml/2006/main" count="118" uniqueCount="46">
  <si>
    <t>ASEGURADORA SOLIDARIA DE COLOMBIA LTDA ENTIDAD COOPERATIVA</t>
  </si>
  <si>
    <t xml:space="preserve">  INDUSTRIA Y COMERCIO  MEDELLIN 2019</t>
  </si>
  <si>
    <t>TOTAL INGRESOS DEL PERIODO R-10 Nacional</t>
  </si>
  <si>
    <t>MENOS TOTAL DE INGRESOS FUERA MEDELLIN R-11</t>
  </si>
  <si>
    <t>INGRESOS BRUTOS MEDELLIN</t>
  </si>
  <si>
    <t>MENOS OTRAS DEDUCCIONES</t>
  </si>
  <si>
    <t>INGRESOS NETOS GRAVABLES</t>
  </si>
  <si>
    <t>IMPUESTO DE INDUS. Y CCIO 5/1000 R-19</t>
  </si>
  <si>
    <t>IMPUESTO DE AVISOS Y TABLEROS 15% R-21</t>
  </si>
  <si>
    <t>TOTAL IMPUESTO ANUAL</t>
  </si>
  <si>
    <t>UNIDAD ADICIONAL  27.8 UVT R-20 (M POBLADO Y SECTOR SOLIDARIO)</t>
  </si>
  <si>
    <t>MENOS PARTE EXENTA</t>
  </si>
  <si>
    <t>SUBTOTAL  A PAGAR</t>
  </si>
  <si>
    <t>Menos:  RETEICA QUE NOS PRACTICARON</t>
  </si>
  <si>
    <t>TOTAL  A PAGAR</t>
  </si>
  <si>
    <t>UVT 2019</t>
  </si>
  <si>
    <t>SANCION INEXACTITUD</t>
  </si>
  <si>
    <t>Base</t>
  </si>
  <si>
    <t xml:space="preserve">Sancion Inexactitud </t>
  </si>
  <si>
    <t>Dias de Mora</t>
  </si>
  <si>
    <t>Fecha Vencimiento de Pago</t>
  </si>
  <si>
    <t>Fecha de Pago</t>
  </si>
  <si>
    <t>Interes aplicado</t>
  </si>
  <si>
    <t>INTERESES</t>
  </si>
  <si>
    <t>Total a Pagar Intereses</t>
  </si>
  <si>
    <t>TOTAL A PAGAR</t>
  </si>
  <si>
    <t>SANCION REDUCIDA</t>
  </si>
  <si>
    <t xml:space="preserve">  INDUSTRIA Y COMERCIO  MEDELLIN 2020</t>
  </si>
  <si>
    <t>UVT 2020</t>
  </si>
  <si>
    <t xml:space="preserve">  INDUSTRIA Y COMERCIO  MEDELLIN 2021</t>
  </si>
  <si>
    <t>IMPUESTO DE INDUS. Y CCIO 8/1000 R-19</t>
  </si>
  <si>
    <t xml:space="preserve">  INDUSTRIA Y COMERCIO  MEDELLIN 2022</t>
  </si>
  <si>
    <t>Año</t>
  </si>
  <si>
    <t>Valor a pagar</t>
  </si>
  <si>
    <t>Impuesto</t>
  </si>
  <si>
    <t xml:space="preserve">Sanción </t>
  </si>
  <si>
    <t>Intereses</t>
  </si>
  <si>
    <t>Total</t>
  </si>
  <si>
    <t>SANCION X CORRECCIÓN</t>
  </si>
  <si>
    <t>SANCION CORRECIÓN</t>
  </si>
  <si>
    <t xml:space="preserve">SANCION CORRECCIÓN </t>
  </si>
  <si>
    <t>CLAVES</t>
  </si>
  <si>
    <t xml:space="preserve">NANCY LEANDRA VELASQUEZ  RODRIGUEZ </t>
  </si>
  <si>
    <t>MONICA ADRIANA GONZALEZ CAMACHO</t>
  </si>
  <si>
    <t>JOSE IVAN BONILLA PEREZ</t>
  </si>
  <si>
    <t xml:space="preserve">SANCION MINIMA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</si>
</sst>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5" fillId="0" borderId="0" xfId="0" applyFont="1"/>
    <xf numFmtId="3" fontId="5" fillId="0" borderId="0" xfId="0" applyNumberFormat="1" applyFont="1"/>
    <xf numFmtId="38" fontId="5" fillId="0" borderId="0" xfId="0" applyNumberFormat="1" applyFont="1" applyAlignment="1">
      <alignment horizontal="right"/>
    </xf>
    <xf numFmtId="38" fontId="5" fillId="0" borderId="0" xfId="0" applyNumberFormat="1" applyFont="1"/>
    <xf numFmtId="38" fontId="4" fillId="0" borderId="0" xfId="0" applyNumberFormat="1" applyFont="1" applyAlignment="1">
      <alignment horizontal="right"/>
    </xf>
    <xf numFmtId="38" fontId="4" fillId="0" borderId="0" xfId="0" applyNumberFormat="1" applyFont="1"/>
    <xf numFmtId="0" fontId="4" fillId="0" borderId="0" xfId="0" applyFont="1"/>
    <xf numFmtId="38" fontId="5" fillId="0" borderId="1" xfId="0" applyNumberFormat="1" applyFont="1" applyBorder="1" applyAlignment="1">
      <alignment horizontal="right"/>
    </xf>
    <xf numFmtId="38" fontId="5" fillId="0" borderId="1" xfId="0" applyNumberFormat="1" applyFont="1" applyBorder="1"/>
    <xf numFmtId="38" fontId="4" fillId="0" borderId="1" xfId="0" applyNumberFormat="1" applyFont="1" applyBorder="1" applyAlignment="1">
      <alignment horizontal="right"/>
    </xf>
    <xf numFmtId="9" fontId="0" fillId="0" borderId="0" xfId="0" applyNumberFormat="1"/>
    <xf numFmtId="0" fontId="0" fillId="0" borderId="2" xfId="0" applyBorder="1"/>
    <xf numFmtId="164" fontId="0" fillId="0" borderId="2" xfId="1" applyNumberFormat="1" applyFont="1" applyBorder="1"/>
    <xf numFmtId="14" fontId="0" fillId="0" borderId="2" xfId="1" applyNumberFormat="1" applyFont="1" applyBorder="1"/>
    <xf numFmtId="10" fontId="0" fillId="0" borderId="2" xfId="2" applyNumberFormat="1" applyFont="1" applyBorder="1"/>
    <xf numFmtId="43" fontId="0" fillId="0" borderId="0" xfId="1" applyFont="1"/>
    <xf numFmtId="164" fontId="0" fillId="0" borderId="0" xfId="1" applyNumberFormat="1" applyFont="1"/>
    <xf numFmtId="0" fontId="2" fillId="0" borderId="3" xfId="0" applyFont="1" applyBorder="1"/>
    <xf numFmtId="164" fontId="2" fillId="0" borderId="3" xfId="0" applyNumberFormat="1" applyFont="1" applyBorder="1"/>
    <xf numFmtId="0" fontId="4" fillId="0" borderId="4" xfId="0" applyFont="1" applyBorder="1"/>
    <xf numFmtId="9" fontId="2" fillId="0" borderId="4" xfId="0" applyNumberFormat="1" applyFont="1" applyBorder="1"/>
    <xf numFmtId="164" fontId="2" fillId="0" borderId="4" xfId="1" applyNumberFormat="1" applyFont="1" applyBorder="1"/>
    <xf numFmtId="43" fontId="3" fillId="0" borderId="0" xfId="1" applyFont="1"/>
    <xf numFmtId="164" fontId="3" fillId="0" borderId="4" xfId="0" applyNumberFormat="1" applyFont="1" applyBorder="1"/>
    <xf numFmtId="0" fontId="3" fillId="0" borderId="2" xfId="0" applyFont="1" applyBorder="1"/>
    <xf numFmtId="164" fontId="3" fillId="0" borderId="2" xfId="1" applyNumberFormat="1" applyFont="1" applyBorder="1"/>
    <xf numFmtId="38" fontId="4" fillId="3" borderId="0" xfId="0" applyNumberFormat="1" applyFont="1" applyFill="1"/>
    <xf numFmtId="164" fontId="0" fillId="3" borderId="0" xfId="1" applyNumberFormat="1" applyFont="1" applyFill="1"/>
    <xf numFmtId="0" fontId="8" fillId="0" borderId="2" xfId="0" applyFont="1" applyBorder="1"/>
    <xf numFmtId="164" fontId="8" fillId="0" borderId="2" xfId="0" applyNumberFormat="1" applyFont="1" applyBorder="1"/>
    <xf numFmtId="0" fontId="8" fillId="0" borderId="2" xfId="0" applyFont="1" applyBorder="1" applyAlignment="1">
      <alignment horizontal="center"/>
    </xf>
    <xf numFmtId="164" fontId="3" fillId="0" borderId="0" xfId="0" applyNumberFormat="1" applyFont="1"/>
    <xf numFmtId="0" fontId="3" fillId="4" borderId="7" xfId="0" applyFont="1" applyFill="1" applyBorder="1"/>
    <xf numFmtId="0" fontId="3" fillId="4" borderId="8" xfId="0" applyFont="1" applyFill="1" applyBorder="1"/>
    <xf numFmtId="1" fontId="3" fillId="4" borderId="8" xfId="0" applyNumberFormat="1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0" fontId="5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43" fontId="0" fillId="0" borderId="0" xfId="1" applyFont="1" applyFill="1"/>
    <xf numFmtId="0" fontId="0" fillId="0" borderId="0" xfId="0" applyFill="1"/>
    <xf numFmtId="43" fontId="0" fillId="0" borderId="0" xfId="0" applyNumberForma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33</xdr:row>
      <xdr:rowOff>85725</xdr:rowOff>
    </xdr:from>
    <xdr:to>
      <xdr:col>3</xdr:col>
      <xdr:colOff>139822</xdr:colOff>
      <xdr:row>50</xdr:row>
      <xdr:rowOff>105383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4FEEC1-15E2-4DB2-52C7-4B10D9B6D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1" y="6353175"/>
          <a:ext cx="5083296" cy="32581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3</xdr:col>
      <xdr:colOff>1343945</xdr:colOff>
      <xdr:row>65</xdr:row>
      <xdr:rowOff>134140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3C09BB-3BC8-6AF7-4516-A1EEF63E5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6381750"/>
          <a:ext cx="6592220" cy="56586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36</xdr:row>
      <xdr:rowOff>0</xdr:rowOff>
    </xdr:from>
    <xdr:to>
      <xdr:col>2</xdr:col>
      <xdr:colOff>184540</xdr:colOff>
      <xdr:row>53</xdr:row>
      <xdr:rowOff>67381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C05861-4090-5E57-A1F0-0AE144AFE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1" y="6381750"/>
          <a:ext cx="4594614" cy="33058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35</xdr:row>
      <xdr:rowOff>95250</xdr:rowOff>
    </xdr:from>
    <xdr:to>
      <xdr:col>1</xdr:col>
      <xdr:colOff>4158846</xdr:colOff>
      <xdr:row>53</xdr:row>
      <xdr:rowOff>67434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B4F99A-16D1-FF8E-210F-D21EB00C5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1" y="6286500"/>
          <a:ext cx="4139795" cy="34011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vFInversiones/gContabilidad/Impuestos/IMPUESTOS/ICA/ICA%202020/MEDELL&#205;N/2.%20balance%20general%20detallado%20compa&#241;ia%20%20a&#241;o%20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vFInversiones/gContabilidad/Impuestos/IMPUESTOS/ICA/ICA%202021/MEDELL&#205;N/2.%20balance%20general%20detallado%20compa&#241;ia%20%20a&#241;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5682">
          <cell r="H5682">
            <v>-1101372009335.3501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6036">
          <cell r="I6036">
            <v>-1076345134334.23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E644-FBA3-4936-8374-2516E2E9F116}">
  <dimension ref="B1:J33"/>
  <sheetViews>
    <sheetView workbookViewId="0">
      <selection activeCell="D21" sqref="D21"/>
    </sheetView>
  </sheetViews>
  <sheetFormatPr baseColWidth="10" defaultRowHeight="15" x14ac:dyDescent="0.25"/>
  <cols>
    <col min="2" max="2" width="60.28515625" bestFit="1" customWidth="1"/>
    <col min="3" max="3" width="14.140625" bestFit="1" customWidth="1"/>
    <col min="4" max="5" width="20.42578125" bestFit="1" customWidth="1"/>
  </cols>
  <sheetData>
    <row r="1" spans="2:10" s="1" customFormat="1" ht="12.75" x14ac:dyDescent="0.2">
      <c r="B1" s="41" t="s">
        <v>0</v>
      </c>
      <c r="C1" s="41"/>
      <c r="D1" s="41"/>
      <c r="E1" s="41"/>
      <c r="F1" s="8"/>
      <c r="G1" s="8"/>
      <c r="H1" s="8"/>
      <c r="I1" s="8"/>
      <c r="J1" s="8"/>
    </row>
    <row r="2" spans="2:10" s="1" customFormat="1" ht="12.75" x14ac:dyDescent="0.2">
      <c r="B2" s="41" t="s">
        <v>1</v>
      </c>
      <c r="C2" s="41"/>
      <c r="D2" s="41"/>
      <c r="E2" s="41"/>
      <c r="F2" s="8"/>
      <c r="G2" s="8"/>
      <c r="H2" s="8"/>
      <c r="I2" s="8"/>
    </row>
    <row r="5" spans="2:10" x14ac:dyDescent="0.25">
      <c r="B5" s="2" t="s">
        <v>2</v>
      </c>
      <c r="C5" s="3"/>
      <c r="D5" s="4">
        <f>-1179969161726.79*-1</f>
        <v>1179969161726.79</v>
      </c>
      <c r="E5" s="5">
        <f>ROUND(D5/10000,1)*10000</f>
        <v>1179969162000</v>
      </c>
    </row>
    <row r="6" spans="2:10" x14ac:dyDescent="0.25">
      <c r="B6" s="2" t="s">
        <v>3</v>
      </c>
      <c r="C6" s="3"/>
      <c r="D6" s="4">
        <f>+D5-D7</f>
        <v>1066343065648.0901</v>
      </c>
      <c r="E6" s="5">
        <f>ROUND(D6/10000,1)*10000</f>
        <v>1066343066000</v>
      </c>
    </row>
    <row r="7" spans="2:10" x14ac:dyDescent="0.25">
      <c r="B7" s="2" t="s">
        <v>4</v>
      </c>
      <c r="C7" s="3"/>
      <c r="D7" s="4">
        <v>113626096078.7</v>
      </c>
      <c r="E7" s="5">
        <f>ROUND(D7/10000,1)*10000</f>
        <v>113626096000</v>
      </c>
    </row>
    <row r="8" spans="2:10" x14ac:dyDescent="0.25">
      <c r="B8" s="2" t="s">
        <v>5</v>
      </c>
      <c r="C8" s="3"/>
      <c r="D8" s="4">
        <f>+D7-D9</f>
        <v>56825752201.840012</v>
      </c>
      <c r="E8" s="5">
        <f>ROUND(D8/10000,1)*10000</f>
        <v>56825752000</v>
      </c>
    </row>
    <row r="9" spans="2:10" x14ac:dyDescent="0.25">
      <c r="B9" s="2" t="s">
        <v>6</v>
      </c>
      <c r="C9" s="3"/>
      <c r="D9" s="6">
        <v>56800343876.859985</v>
      </c>
      <c r="E9" s="7">
        <f>ROUND(D9/10000,1)*10000</f>
        <v>56800344000</v>
      </c>
    </row>
    <row r="10" spans="2:10" x14ac:dyDescent="0.25">
      <c r="B10" s="2"/>
      <c r="C10" s="3"/>
      <c r="D10" s="4"/>
      <c r="E10" s="5"/>
    </row>
    <row r="11" spans="2:10" x14ac:dyDescent="0.25">
      <c r="B11" s="8"/>
      <c r="C11" s="3"/>
      <c r="D11" s="6"/>
      <c r="E11" s="7"/>
    </row>
    <row r="12" spans="2:10" x14ac:dyDescent="0.25">
      <c r="B12" s="2" t="s">
        <v>7</v>
      </c>
      <c r="C12" s="3"/>
      <c r="D12" s="4">
        <f>(D9*5/1000)</f>
        <v>284001719.38429993</v>
      </c>
      <c r="E12" s="5">
        <f>ROUND(D12/10000,1)*10000</f>
        <v>284002000</v>
      </c>
    </row>
    <row r="13" spans="2:10" x14ac:dyDescent="0.25">
      <c r="B13" s="2" t="s">
        <v>8</v>
      </c>
      <c r="C13" s="3"/>
      <c r="D13" s="9">
        <f>+(D12*15)/100</f>
        <v>42600257.907644995</v>
      </c>
      <c r="E13" s="10">
        <f>ROUND(D13/10000,1)*10000</f>
        <v>42600000</v>
      </c>
    </row>
    <row r="14" spans="2:10" x14ac:dyDescent="0.25">
      <c r="B14" s="8" t="s">
        <v>9</v>
      </c>
      <c r="C14" s="3"/>
      <c r="D14" s="6">
        <f>SUM(D12:D13)</f>
        <v>326601977.29194492</v>
      </c>
      <c r="E14" s="7">
        <f>SUM(E12:E13)</f>
        <v>326602000</v>
      </c>
      <c r="F14" t="s">
        <v>15</v>
      </c>
    </row>
    <row r="15" spans="2:10" x14ac:dyDescent="0.25">
      <c r="B15" s="39" t="s">
        <v>10</v>
      </c>
      <c r="C15" s="39"/>
      <c r="D15" s="9">
        <f>((+F15*27.8)*2)</f>
        <v>1905412</v>
      </c>
      <c r="E15" s="10">
        <f>ROUND(D15/10000,1)*10000</f>
        <v>1905000</v>
      </c>
      <c r="F15" s="5">
        <v>34270</v>
      </c>
    </row>
    <row r="16" spans="2:10" x14ac:dyDescent="0.25">
      <c r="B16" s="8"/>
      <c r="C16" s="3"/>
      <c r="D16" s="6">
        <f>D14+D15</f>
        <v>328507389.29194492</v>
      </c>
      <c r="E16" s="7">
        <f>E14+E15</f>
        <v>328507000</v>
      </c>
    </row>
    <row r="17" spans="2:7" x14ac:dyDescent="0.25">
      <c r="B17" s="2" t="s">
        <v>11</v>
      </c>
      <c r="C17" s="3"/>
      <c r="D17" s="11">
        <f>+D14</f>
        <v>326601977.29194492</v>
      </c>
      <c r="E17" s="10">
        <f>ROUND(D17/10000,1)*10000</f>
        <v>326602000</v>
      </c>
    </row>
    <row r="18" spans="2:7" x14ac:dyDescent="0.25">
      <c r="B18" s="8" t="s">
        <v>12</v>
      </c>
      <c r="C18" s="8"/>
      <c r="D18" s="6">
        <f>+D16-D17</f>
        <v>1905412</v>
      </c>
      <c r="E18" s="28">
        <f>ROUND(D18/10000,1)*10000</f>
        <v>1905000</v>
      </c>
    </row>
    <row r="19" spans="2:7" x14ac:dyDescent="0.25">
      <c r="B19" s="2" t="s">
        <v>16</v>
      </c>
      <c r="C19" s="12">
        <v>1</v>
      </c>
      <c r="D19" s="18">
        <f>+D18*C19</f>
        <v>1905412</v>
      </c>
      <c r="E19" s="18">
        <f>ROUND(D19/10000,1)*10000</f>
        <v>1905000</v>
      </c>
      <c r="F19" s="44"/>
      <c r="G19" s="45"/>
    </row>
    <row r="20" spans="2:7" x14ac:dyDescent="0.25">
      <c r="B20" s="2" t="s">
        <v>26</v>
      </c>
      <c r="C20" s="12"/>
      <c r="D20" s="18">
        <f>+D19*25%</f>
        <v>476353</v>
      </c>
      <c r="E20" s="18">
        <f>ROUND(D20/10000,1)*10000</f>
        <v>476000</v>
      </c>
      <c r="F20" s="44"/>
      <c r="G20" s="45"/>
    </row>
    <row r="21" spans="2:7" x14ac:dyDescent="0.25">
      <c r="B21" s="2" t="s">
        <v>23</v>
      </c>
      <c r="C21" s="12"/>
      <c r="D21" s="18">
        <f>+C32*0</f>
        <v>0</v>
      </c>
      <c r="E21" s="29">
        <f>ROUND(D21/10000,1)*10000</f>
        <v>0</v>
      </c>
      <c r="F21" s="46"/>
      <c r="G21" s="45"/>
    </row>
    <row r="22" spans="2:7" ht="15.75" thickBot="1" x14ac:dyDescent="0.3">
      <c r="B22" s="21" t="s">
        <v>25</v>
      </c>
      <c r="C22" s="22"/>
      <c r="D22" s="23">
        <f>+D18+D20+D21</f>
        <v>2381765</v>
      </c>
      <c r="E22" s="23">
        <f>+E18+E20+E21</f>
        <v>2381000</v>
      </c>
    </row>
    <row r="23" spans="2:7" ht="15.75" thickTop="1" x14ac:dyDescent="0.25"/>
    <row r="26" spans="2:7" x14ac:dyDescent="0.25">
      <c r="B26" s="40" t="s">
        <v>18</v>
      </c>
      <c r="C26" s="40"/>
      <c r="F26" s="17"/>
    </row>
    <row r="27" spans="2:7" x14ac:dyDescent="0.25">
      <c r="B27" s="13" t="s">
        <v>17</v>
      </c>
      <c r="C27" s="14">
        <f>+D18</f>
        <v>1905412</v>
      </c>
      <c r="F27" s="18"/>
    </row>
    <row r="28" spans="2:7" x14ac:dyDescent="0.25">
      <c r="B28" s="13" t="s">
        <v>20</v>
      </c>
      <c r="C28" s="15">
        <v>43937</v>
      </c>
    </row>
    <row r="29" spans="2:7" x14ac:dyDescent="0.25">
      <c r="B29" s="13" t="s">
        <v>21</v>
      </c>
      <c r="C29" s="15">
        <v>45168</v>
      </c>
    </row>
    <row r="30" spans="2:7" x14ac:dyDescent="0.25">
      <c r="B30" s="13" t="s">
        <v>19</v>
      </c>
      <c r="C30" s="14">
        <f>+C29-C28</f>
        <v>1231</v>
      </c>
    </row>
    <row r="31" spans="2:7" x14ac:dyDescent="0.25">
      <c r="B31" s="13" t="s">
        <v>22</v>
      </c>
      <c r="C31" s="16">
        <v>0.4113</v>
      </c>
    </row>
    <row r="32" spans="2:7" ht="15.75" thickBot="1" x14ac:dyDescent="0.3">
      <c r="B32" s="19" t="s">
        <v>24</v>
      </c>
      <c r="C32" s="20">
        <v>2643000</v>
      </c>
    </row>
    <row r="33" ht="15.75" thickTop="1" x14ac:dyDescent="0.25"/>
  </sheetData>
  <mergeCells count="4">
    <mergeCell ref="B15:C15"/>
    <mergeCell ref="B26:C26"/>
    <mergeCell ref="B1:E1"/>
    <mergeCell ref="B2:E2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E4B59-D2D2-4300-9CB2-6F29125E0451}">
  <dimension ref="B1:I35"/>
  <sheetViews>
    <sheetView workbookViewId="0">
      <selection activeCell="D23" sqref="D23"/>
    </sheetView>
  </sheetViews>
  <sheetFormatPr baseColWidth="10" defaultRowHeight="15" x14ac:dyDescent="0.25"/>
  <cols>
    <col min="2" max="2" width="67.28515625" customWidth="1"/>
    <col min="4" max="5" width="20.42578125" bestFit="1" customWidth="1"/>
  </cols>
  <sheetData>
    <row r="1" spans="2:9" s="1" customFormat="1" ht="12.75" x14ac:dyDescent="0.2">
      <c r="B1" s="41" t="s">
        <v>0</v>
      </c>
      <c r="C1" s="41"/>
      <c r="D1" s="41"/>
      <c r="E1" s="41"/>
      <c r="F1" s="41"/>
      <c r="G1" s="41"/>
      <c r="H1" s="41"/>
      <c r="I1" s="41"/>
    </row>
    <row r="2" spans="2:9" s="1" customFormat="1" ht="12.75" x14ac:dyDescent="0.2">
      <c r="B2" s="41" t="s">
        <v>27</v>
      </c>
      <c r="C2" s="41"/>
      <c r="D2" s="41"/>
      <c r="E2" s="41"/>
      <c r="F2" s="41"/>
      <c r="G2" s="41"/>
      <c r="H2" s="41"/>
      <c r="I2" s="41"/>
    </row>
    <row r="5" spans="2:9" s="1" customFormat="1" ht="12.75" x14ac:dyDescent="0.2">
      <c r="B5" s="2" t="s">
        <v>2</v>
      </c>
      <c r="C5" s="3"/>
      <c r="D5" s="4">
        <f>+[1]Sheet1!$H$5682*-1</f>
        <v>1101372009335.3501</v>
      </c>
      <c r="E5" s="5">
        <f>ROUND(D5/10000,1)*10000</f>
        <v>1101372009000</v>
      </c>
    </row>
    <row r="6" spans="2:9" s="1" customFormat="1" ht="12.75" x14ac:dyDescent="0.2">
      <c r="B6" s="2" t="s">
        <v>3</v>
      </c>
      <c r="C6" s="3"/>
      <c r="D6" s="4">
        <f>+D5-D7</f>
        <v>989500815989.00012</v>
      </c>
      <c r="E6" s="5">
        <f>ROUND(D6/10000,1)*10000</f>
        <v>989500816000</v>
      </c>
    </row>
    <row r="7" spans="2:9" s="1" customFormat="1" ht="12.75" x14ac:dyDescent="0.2">
      <c r="B7" s="2" t="s">
        <v>4</v>
      </c>
      <c r="C7" s="3"/>
      <c r="D7" s="4">
        <v>111871193346.35001</v>
      </c>
      <c r="E7" s="5">
        <f>ROUND(D7/10000,1)*10000</f>
        <v>111871193000</v>
      </c>
    </row>
    <row r="8" spans="2:9" s="1" customFormat="1" ht="12.75" x14ac:dyDescent="0.2">
      <c r="B8" s="2" t="s">
        <v>5</v>
      </c>
      <c r="C8" s="3"/>
      <c r="D8" s="4">
        <f>+D7-D9</f>
        <v>60020704865.599998</v>
      </c>
      <c r="E8" s="5">
        <f>ROUND(D8/10000,1)*10000</f>
        <v>60020705000</v>
      </c>
    </row>
    <row r="9" spans="2:9" s="1" customFormat="1" ht="12.75" x14ac:dyDescent="0.2">
      <c r="B9" s="2" t="s">
        <v>6</v>
      </c>
      <c r="C9" s="3"/>
      <c r="D9" s="6">
        <v>51850488480.750008</v>
      </c>
      <c r="E9" s="7">
        <f>ROUND(D9/10000,1)*10000</f>
        <v>51850488000</v>
      </c>
    </row>
    <row r="10" spans="2:9" s="1" customFormat="1" ht="12.75" x14ac:dyDescent="0.2">
      <c r="B10" s="2"/>
      <c r="C10" s="3"/>
      <c r="D10" s="4"/>
      <c r="E10" s="5">
        <f>+E7-E8-E9</f>
        <v>0</v>
      </c>
    </row>
    <row r="11" spans="2:9" s="1" customFormat="1" ht="12.75" x14ac:dyDescent="0.2">
      <c r="B11" s="8"/>
      <c r="C11" s="3"/>
      <c r="D11" s="6"/>
      <c r="E11" s="7"/>
    </row>
    <row r="12" spans="2:9" s="1" customFormat="1" ht="12.75" x14ac:dyDescent="0.2">
      <c r="B12" s="2" t="s">
        <v>7</v>
      </c>
      <c r="C12" s="3"/>
      <c r="D12" s="4">
        <f>(D9*5/1000)</f>
        <v>259252442.40375003</v>
      </c>
      <c r="E12" s="5">
        <f>ROUND(D12/10000,1)*10000</f>
        <v>259252000</v>
      </c>
    </row>
    <row r="13" spans="2:9" s="1" customFormat="1" ht="12.75" x14ac:dyDescent="0.2">
      <c r="B13" s="2" t="s">
        <v>8</v>
      </c>
      <c r="C13" s="3"/>
      <c r="D13" s="9">
        <f>+(D12*15)/100</f>
        <v>38887866.360562503</v>
      </c>
      <c r="E13" s="10">
        <f>ROUND(D13/10000,1)*10000</f>
        <v>38888000</v>
      </c>
    </row>
    <row r="14" spans="2:9" s="1" customFormat="1" ht="12.75" x14ac:dyDescent="0.2">
      <c r="B14" s="8" t="s">
        <v>9</v>
      </c>
      <c r="C14" s="3"/>
      <c r="D14" s="6">
        <f>SUM(D12:D13)</f>
        <v>298140308.76431251</v>
      </c>
      <c r="E14" s="7">
        <f>SUM(E12:E13)</f>
        <v>298140000</v>
      </c>
      <c r="F14" s="1" t="s">
        <v>28</v>
      </c>
    </row>
    <row r="15" spans="2:9" s="1" customFormat="1" ht="12.75" x14ac:dyDescent="0.2">
      <c r="B15" s="39" t="s">
        <v>10</v>
      </c>
      <c r="C15" s="39"/>
      <c r="D15" s="9">
        <f>((+F15*27.8)*2)</f>
        <v>1979749.2</v>
      </c>
      <c r="E15" s="10">
        <f>ROUND(D15/10000,1)*10000</f>
        <v>1980000</v>
      </c>
      <c r="F15" s="24">
        <v>35607</v>
      </c>
    </row>
    <row r="16" spans="2:9" s="1" customFormat="1" ht="12.75" x14ac:dyDescent="0.2">
      <c r="B16" s="8"/>
      <c r="C16" s="3"/>
      <c r="D16" s="6">
        <f>D14+D15</f>
        <v>300120057.96431249</v>
      </c>
      <c r="E16" s="7">
        <f>E14+E15</f>
        <v>300120000</v>
      </c>
    </row>
    <row r="17" spans="2:5" s="1" customFormat="1" ht="12.75" x14ac:dyDescent="0.2">
      <c r="B17" s="2" t="s">
        <v>11</v>
      </c>
      <c r="C17" s="3"/>
      <c r="D17" s="11">
        <f>+D14</f>
        <v>298140308.76431251</v>
      </c>
      <c r="E17" s="10">
        <f>ROUND(D17/10000,1)*10000</f>
        <v>298140000</v>
      </c>
    </row>
    <row r="18" spans="2:5" s="1" customFormat="1" ht="12.75" x14ac:dyDescent="0.2">
      <c r="B18" s="8" t="s">
        <v>12</v>
      </c>
      <c r="C18" s="8"/>
      <c r="D18" s="6">
        <f>+D16-D17</f>
        <v>1979749.1999999881</v>
      </c>
      <c r="E18" s="7">
        <f>ROUND(D18/10000,1)*10000</f>
        <v>1980000</v>
      </c>
    </row>
    <row r="19" spans="2:5" s="1" customFormat="1" ht="12.75" x14ac:dyDescent="0.2">
      <c r="B19" s="2" t="s">
        <v>13</v>
      </c>
      <c r="C19" s="2"/>
      <c r="D19" s="9">
        <v>0</v>
      </c>
      <c r="E19" s="10">
        <f>203000*0</f>
        <v>0</v>
      </c>
    </row>
    <row r="20" spans="2:5" s="1" customFormat="1" ht="12.75" x14ac:dyDescent="0.2">
      <c r="B20" s="8" t="s">
        <v>14</v>
      </c>
      <c r="C20" s="2"/>
      <c r="D20" s="6">
        <f>+D18-D19</f>
        <v>1979749.1999999881</v>
      </c>
      <c r="E20" s="7">
        <f>+E18-E19</f>
        <v>1980000</v>
      </c>
    </row>
    <row r="21" spans="2:5" x14ac:dyDescent="0.25">
      <c r="B21" s="2" t="s">
        <v>38</v>
      </c>
      <c r="C21" s="12">
        <v>1</v>
      </c>
      <c r="D21" s="18">
        <f>+D20*C21</f>
        <v>1979749.1999999881</v>
      </c>
      <c r="E21" s="18">
        <f>ROUND(D21/10000,1)*10000</f>
        <v>1980000</v>
      </c>
    </row>
    <row r="22" spans="2:5" x14ac:dyDescent="0.25">
      <c r="B22" s="2" t="s">
        <v>45</v>
      </c>
      <c r="C22" s="12"/>
      <c r="D22" s="18">
        <f>10*42412</f>
        <v>424120</v>
      </c>
      <c r="E22" s="18">
        <f>ROUND(D22/10000,1)*10000</f>
        <v>424000</v>
      </c>
    </row>
    <row r="23" spans="2:5" x14ac:dyDescent="0.25">
      <c r="B23" s="2" t="s">
        <v>23</v>
      </c>
      <c r="C23" s="12"/>
      <c r="D23" s="18">
        <f>+C34*0</f>
        <v>0</v>
      </c>
      <c r="E23" s="18">
        <f>ROUND(D23/10000,1)*10000</f>
        <v>0</v>
      </c>
    </row>
    <row r="24" spans="2:5" ht="15.75" thickBot="1" x14ac:dyDescent="0.3">
      <c r="B24" s="21" t="s">
        <v>25</v>
      </c>
      <c r="C24" s="22"/>
      <c r="D24" s="23">
        <f>+D20++D22+D23</f>
        <v>2403869.1999999881</v>
      </c>
      <c r="E24" s="23">
        <f>+E20++E22+E23</f>
        <v>2404000</v>
      </c>
    </row>
    <row r="25" spans="2:5" ht="15.75" thickTop="1" x14ac:dyDescent="0.25"/>
    <row r="28" spans="2:5" x14ac:dyDescent="0.25">
      <c r="B28" s="40" t="s">
        <v>18</v>
      </c>
      <c r="C28" s="40"/>
    </row>
    <row r="29" spans="2:5" x14ac:dyDescent="0.25">
      <c r="B29" s="13" t="s">
        <v>17</v>
      </c>
      <c r="C29" s="14">
        <f>+D18</f>
        <v>1979749.1999999881</v>
      </c>
    </row>
    <row r="30" spans="2:5" x14ac:dyDescent="0.25">
      <c r="B30" s="13" t="s">
        <v>20</v>
      </c>
      <c r="C30" s="15">
        <v>44313</v>
      </c>
    </row>
    <row r="31" spans="2:5" x14ac:dyDescent="0.25">
      <c r="B31" s="13" t="s">
        <v>21</v>
      </c>
      <c r="C31" s="15">
        <v>45168</v>
      </c>
    </row>
    <row r="32" spans="2:5" x14ac:dyDescent="0.25">
      <c r="B32" s="13" t="s">
        <v>19</v>
      </c>
      <c r="C32" s="14">
        <f>+C31-C30</f>
        <v>855</v>
      </c>
    </row>
    <row r="33" spans="2:3" x14ac:dyDescent="0.25">
      <c r="B33" s="13" t="s">
        <v>22</v>
      </c>
      <c r="C33" s="16">
        <v>0.4113</v>
      </c>
    </row>
    <row r="34" spans="2:3" ht="15.75" thickBot="1" x14ac:dyDescent="0.3">
      <c r="B34" s="19" t="s">
        <v>24</v>
      </c>
      <c r="C34" s="20">
        <v>1908000</v>
      </c>
    </row>
    <row r="35" spans="2:3" ht="15.75" thickTop="1" x14ac:dyDescent="0.25"/>
  </sheetData>
  <mergeCells count="4">
    <mergeCell ref="B15:C15"/>
    <mergeCell ref="B28:C28"/>
    <mergeCell ref="B1:I1"/>
    <mergeCell ref="B2:I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DFF95-594D-4659-8553-E91F0C5B0021}">
  <dimension ref="B1:I61"/>
  <sheetViews>
    <sheetView workbookViewId="0">
      <selection activeCell="D23" sqref="D23"/>
    </sheetView>
  </sheetViews>
  <sheetFormatPr baseColWidth="10" defaultRowHeight="15" x14ac:dyDescent="0.25"/>
  <cols>
    <col min="2" max="2" width="67.28515625" customWidth="1"/>
    <col min="4" max="5" width="20.42578125" bestFit="1" customWidth="1"/>
  </cols>
  <sheetData>
    <row r="1" spans="2:9" s="1" customFormat="1" ht="12.75" x14ac:dyDescent="0.2">
      <c r="B1" s="41" t="s">
        <v>0</v>
      </c>
      <c r="C1" s="41"/>
      <c r="D1" s="41"/>
      <c r="E1" s="41"/>
      <c r="F1" s="41"/>
      <c r="G1" s="41"/>
      <c r="H1" s="41"/>
      <c r="I1" s="41"/>
    </row>
    <row r="2" spans="2:9" s="1" customFormat="1" ht="12.75" x14ac:dyDescent="0.2">
      <c r="B2" s="41" t="s">
        <v>29</v>
      </c>
      <c r="C2" s="41"/>
      <c r="D2" s="41"/>
      <c r="E2" s="41"/>
      <c r="F2" s="41"/>
      <c r="G2" s="41"/>
      <c r="H2" s="41"/>
      <c r="I2" s="41"/>
    </row>
    <row r="5" spans="2:9" s="1" customFormat="1" ht="12.75" x14ac:dyDescent="0.2">
      <c r="B5" s="2" t="s">
        <v>2</v>
      </c>
      <c r="C5" s="3"/>
      <c r="D5" s="4">
        <f>+[2]Sheet1!$I$6036*-1</f>
        <v>1076345134334.23</v>
      </c>
      <c r="E5" s="5">
        <f>ROUND(D5/10000,1)*10000</f>
        <v>1076345134000</v>
      </c>
    </row>
    <row r="6" spans="2:9" s="1" customFormat="1" ht="12.75" x14ac:dyDescent="0.2">
      <c r="B6" s="2" t="s">
        <v>3</v>
      </c>
      <c r="C6" s="3"/>
      <c r="D6" s="4">
        <f>+D5-D7</f>
        <v>961714263914.42993</v>
      </c>
      <c r="E6" s="5">
        <f>ROUND(D6/10000,1)*10000</f>
        <v>961714264000</v>
      </c>
    </row>
    <row r="7" spans="2:9" s="1" customFormat="1" ht="12.75" x14ac:dyDescent="0.2">
      <c r="B7" s="2" t="s">
        <v>4</v>
      </c>
      <c r="C7" s="3"/>
      <c r="D7" s="4">
        <v>114630870419.79999</v>
      </c>
      <c r="E7" s="5">
        <f>ROUND(D7/10000,1)*10000</f>
        <v>114630870000</v>
      </c>
    </row>
    <row r="8" spans="2:9" s="1" customFormat="1" ht="12.75" x14ac:dyDescent="0.2">
      <c r="B8" s="2" t="s">
        <v>5</v>
      </c>
      <c r="C8" s="3"/>
      <c r="D8" s="4">
        <f>+D7-D9</f>
        <v>67285941227.929993</v>
      </c>
      <c r="E8" s="5">
        <f>ROUND(D8/10000,1)*10000</f>
        <v>67285941000</v>
      </c>
    </row>
    <row r="9" spans="2:9" s="1" customFormat="1" ht="12.75" x14ac:dyDescent="0.2">
      <c r="B9" s="2" t="s">
        <v>6</v>
      </c>
      <c r="C9" s="3"/>
      <c r="D9" s="6">
        <v>47344929191.869995</v>
      </c>
      <c r="E9" s="7">
        <f>ROUND(D9/10000,1)*10000</f>
        <v>47344929000</v>
      </c>
    </row>
    <row r="10" spans="2:9" s="1" customFormat="1" ht="12.75" x14ac:dyDescent="0.2">
      <c r="B10" s="2"/>
      <c r="C10" s="3"/>
      <c r="D10" s="4"/>
      <c r="E10" s="5">
        <f>+E7-E8-E9</f>
        <v>0</v>
      </c>
    </row>
    <row r="11" spans="2:9" s="1" customFormat="1" ht="12.75" x14ac:dyDescent="0.2">
      <c r="B11" s="8"/>
      <c r="C11" s="3"/>
      <c r="D11" s="6"/>
      <c r="E11" s="7"/>
    </row>
    <row r="12" spans="2:9" s="1" customFormat="1" ht="12.75" x14ac:dyDescent="0.2">
      <c r="B12" s="2" t="s">
        <v>7</v>
      </c>
      <c r="C12" s="3"/>
      <c r="D12" s="4">
        <f>(D9*5/1000)</f>
        <v>236724645.95934999</v>
      </c>
      <c r="E12" s="5">
        <f>ROUND(D12/10000,1)*10000</f>
        <v>236725000</v>
      </c>
    </row>
    <row r="13" spans="2:9" s="1" customFormat="1" ht="12.75" x14ac:dyDescent="0.2">
      <c r="B13" s="2" t="s">
        <v>8</v>
      </c>
      <c r="C13" s="3"/>
      <c r="D13" s="9">
        <f>+(D12*15)/100</f>
        <v>35508696.893902496</v>
      </c>
      <c r="E13" s="10">
        <f>ROUND(D13/10000,1)*10000</f>
        <v>35509000</v>
      </c>
    </row>
    <row r="14" spans="2:9" s="1" customFormat="1" ht="12.75" x14ac:dyDescent="0.2">
      <c r="B14" s="8" t="s">
        <v>9</v>
      </c>
      <c r="C14" s="3"/>
      <c r="D14" s="6">
        <f>SUM(D12:D13)</f>
        <v>272233342.85325247</v>
      </c>
      <c r="E14" s="7">
        <f>SUM(E12:E13)</f>
        <v>272234000</v>
      </c>
      <c r="F14" s="1" t="s">
        <v>28</v>
      </c>
    </row>
    <row r="15" spans="2:9" s="1" customFormat="1" ht="12.75" x14ac:dyDescent="0.2">
      <c r="B15" s="39" t="s">
        <v>10</v>
      </c>
      <c r="C15" s="39"/>
      <c r="D15" s="9">
        <f>((+F15*27.8)*2)</f>
        <v>2018724.8</v>
      </c>
      <c r="E15" s="10">
        <f>ROUND(D15/10000,1)*10000</f>
        <v>2019000</v>
      </c>
      <c r="F15" s="24">
        <v>36308</v>
      </c>
    </row>
    <row r="16" spans="2:9" s="1" customFormat="1" ht="12.75" x14ac:dyDescent="0.2">
      <c r="B16" s="8"/>
      <c r="C16" s="3"/>
      <c r="D16" s="6">
        <f>D14+D15</f>
        <v>274252067.65325248</v>
      </c>
      <c r="E16" s="7">
        <f>E14+E15</f>
        <v>274253000</v>
      </c>
    </row>
    <row r="17" spans="2:6" s="1" customFormat="1" ht="12.75" x14ac:dyDescent="0.2">
      <c r="B17" s="2" t="s">
        <v>11</v>
      </c>
      <c r="C17" s="3"/>
      <c r="D17" s="11">
        <f>+D14</f>
        <v>272233342.85325247</v>
      </c>
      <c r="E17" s="10">
        <f>ROUND(D17/10000,1)*10000</f>
        <v>272233000</v>
      </c>
    </row>
    <row r="18" spans="2:6" s="1" customFormat="1" ht="12.75" x14ac:dyDescent="0.2">
      <c r="B18" s="8" t="s">
        <v>12</v>
      </c>
      <c r="C18" s="8"/>
      <c r="D18" s="6">
        <f>+D16-D17</f>
        <v>2018724.8000000119</v>
      </c>
      <c r="E18" s="7">
        <f>ROUND(D18/10000,1)*10000</f>
        <v>2019000</v>
      </c>
    </row>
    <row r="19" spans="2:6" s="1" customFormat="1" ht="12.75" x14ac:dyDescent="0.2">
      <c r="B19" s="2" t="s">
        <v>13</v>
      </c>
      <c r="C19" s="2"/>
      <c r="D19" s="9">
        <v>0</v>
      </c>
      <c r="E19" s="10">
        <f>203000*0</f>
        <v>0</v>
      </c>
    </row>
    <row r="20" spans="2:6" s="1" customFormat="1" ht="12.75" x14ac:dyDescent="0.2">
      <c r="B20" s="8" t="s">
        <v>14</v>
      </c>
      <c r="C20" s="2"/>
      <c r="D20" s="6">
        <f>+D18-D19</f>
        <v>2018724.8000000119</v>
      </c>
      <c r="E20" s="7">
        <f>+E18-E19</f>
        <v>2019000</v>
      </c>
    </row>
    <row r="21" spans="2:6" x14ac:dyDescent="0.25">
      <c r="B21" s="2" t="s">
        <v>39</v>
      </c>
      <c r="C21" s="12">
        <v>1</v>
      </c>
      <c r="D21" s="18">
        <f>+D20*C21</f>
        <v>2018724.8000000119</v>
      </c>
      <c r="E21" s="18">
        <f>ROUND(D21/10000,1)*10000</f>
        <v>2019000</v>
      </c>
      <c r="F21" s="17"/>
    </row>
    <row r="22" spans="2:6" x14ac:dyDescent="0.25">
      <c r="B22" s="2" t="s">
        <v>45</v>
      </c>
      <c r="C22" s="12"/>
      <c r="D22" s="18">
        <f>10*42412</f>
        <v>424120</v>
      </c>
      <c r="E22" s="18">
        <f>ROUND(D22/10000,1)*10000</f>
        <v>424000</v>
      </c>
    </row>
    <row r="23" spans="2:6" x14ac:dyDescent="0.25">
      <c r="B23" s="2" t="s">
        <v>23</v>
      </c>
      <c r="C23" s="12"/>
      <c r="D23" s="18">
        <f>+C34*0</f>
        <v>0</v>
      </c>
      <c r="E23" s="18">
        <f>ROUND(D23/10000,1)*10000</f>
        <v>0</v>
      </c>
    </row>
    <row r="24" spans="2:6" ht="15.75" thickBot="1" x14ac:dyDescent="0.3">
      <c r="B24" s="21" t="s">
        <v>25</v>
      </c>
      <c r="C24" s="22"/>
      <c r="D24" s="23">
        <f>+D20+D22+D23</f>
        <v>2442844.8000000119</v>
      </c>
      <c r="E24" s="23">
        <f>+E20+E22+E23</f>
        <v>2443000</v>
      </c>
    </row>
    <row r="25" spans="2:6" ht="15.75" thickTop="1" x14ac:dyDescent="0.25"/>
    <row r="28" spans="2:6" x14ac:dyDescent="0.25">
      <c r="B28" s="40" t="s">
        <v>18</v>
      </c>
      <c r="C28" s="40"/>
    </row>
    <row r="29" spans="2:6" x14ac:dyDescent="0.25">
      <c r="B29" s="13" t="s">
        <v>17</v>
      </c>
      <c r="C29" s="14">
        <f>+D18</f>
        <v>2018724.8000000119</v>
      </c>
    </row>
    <row r="30" spans="2:6" x14ac:dyDescent="0.25">
      <c r="B30" s="13" t="s">
        <v>20</v>
      </c>
      <c r="C30" s="15">
        <v>44677</v>
      </c>
    </row>
    <row r="31" spans="2:6" x14ac:dyDescent="0.25">
      <c r="B31" s="13" t="s">
        <v>21</v>
      </c>
      <c r="C31" s="15">
        <v>45168</v>
      </c>
    </row>
    <row r="32" spans="2:6" x14ac:dyDescent="0.25">
      <c r="B32" s="13" t="s">
        <v>19</v>
      </c>
      <c r="C32" s="14">
        <f>+C31-C30</f>
        <v>491</v>
      </c>
    </row>
    <row r="33" spans="2:3" x14ac:dyDescent="0.25">
      <c r="B33" s="13" t="s">
        <v>22</v>
      </c>
      <c r="C33" s="16">
        <v>0.4113</v>
      </c>
    </row>
    <row r="34" spans="2:3" ht="15.75" thickBot="1" x14ac:dyDescent="0.3">
      <c r="B34" s="19" t="s">
        <v>24</v>
      </c>
      <c r="C34" s="20">
        <v>1117000</v>
      </c>
    </row>
    <row r="35" spans="2:3" ht="15.75" thickTop="1" x14ac:dyDescent="0.25"/>
    <row r="56" spans="2:3" ht="15.75" thickBot="1" x14ac:dyDescent="0.3"/>
    <row r="57" spans="2:3" x14ac:dyDescent="0.25">
      <c r="B57" s="42" t="s">
        <v>41</v>
      </c>
      <c r="C57" s="43"/>
    </row>
    <row r="58" spans="2:3" x14ac:dyDescent="0.25">
      <c r="B58" s="34" t="s">
        <v>42</v>
      </c>
      <c r="C58" s="35">
        <v>6183</v>
      </c>
    </row>
    <row r="59" spans="2:3" x14ac:dyDescent="0.25">
      <c r="B59" s="34" t="s">
        <v>43</v>
      </c>
      <c r="C59" s="36">
        <v>4668</v>
      </c>
    </row>
    <row r="60" spans="2:3" x14ac:dyDescent="0.25">
      <c r="B60" s="34" t="s">
        <v>44</v>
      </c>
      <c r="C60" s="36">
        <v>9175</v>
      </c>
    </row>
    <row r="61" spans="2:3" ht="15.75" thickBot="1" x14ac:dyDescent="0.3">
      <c r="B61" s="37"/>
      <c r="C61" s="38"/>
    </row>
  </sheetData>
  <mergeCells count="5">
    <mergeCell ref="B1:I1"/>
    <mergeCell ref="B2:I2"/>
    <mergeCell ref="B15:C15"/>
    <mergeCell ref="B28:C28"/>
    <mergeCell ref="B57:C5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69F9-C9AF-4140-B437-84AC00497F37}">
  <dimension ref="B1:O35"/>
  <sheetViews>
    <sheetView tabSelected="1" topLeftCell="A4" workbookViewId="0">
      <selection activeCell="J25" sqref="J25"/>
    </sheetView>
  </sheetViews>
  <sheetFormatPr baseColWidth="10" defaultRowHeight="15" x14ac:dyDescent="0.25"/>
  <cols>
    <col min="2" max="2" width="67.28515625" customWidth="1"/>
    <col min="4" max="5" width="20.42578125" bestFit="1" customWidth="1"/>
    <col min="12" max="13" width="13" bestFit="1" customWidth="1"/>
  </cols>
  <sheetData>
    <row r="1" spans="2:15" s="1" customFormat="1" ht="12.75" x14ac:dyDescent="0.2">
      <c r="B1" s="41" t="s">
        <v>0</v>
      </c>
      <c r="C1" s="41"/>
      <c r="D1" s="41"/>
      <c r="E1" s="41"/>
      <c r="F1" s="8"/>
      <c r="G1" s="8"/>
      <c r="H1" s="8"/>
      <c r="I1" s="8"/>
    </row>
    <row r="2" spans="2:15" s="1" customFormat="1" ht="12.75" x14ac:dyDescent="0.2">
      <c r="B2" s="41" t="s">
        <v>31</v>
      </c>
      <c r="C2" s="41"/>
      <c r="D2" s="41"/>
      <c r="E2" s="41"/>
      <c r="F2" s="8"/>
      <c r="G2" s="8"/>
      <c r="H2" s="8"/>
      <c r="I2" s="8"/>
    </row>
    <row r="5" spans="2:15" s="1" customFormat="1" ht="12.75" x14ac:dyDescent="0.2">
      <c r="B5" s="2" t="s">
        <v>2</v>
      </c>
      <c r="C5" s="3"/>
      <c r="D5" s="4">
        <v>1108997984294.3501</v>
      </c>
      <c r="E5" s="5">
        <f>ROUND(D5/10000,1)*10000</f>
        <v>1108997984000</v>
      </c>
      <c r="K5" s="26" t="s">
        <v>32</v>
      </c>
      <c r="L5" s="26" t="s">
        <v>33</v>
      </c>
    </row>
    <row r="6" spans="2:15" s="1" customFormat="1" ht="12.75" x14ac:dyDescent="0.2">
      <c r="B6" s="2" t="s">
        <v>3</v>
      </c>
      <c r="C6" s="3"/>
      <c r="D6" s="4">
        <f>+D5-D7</f>
        <v>979393049254.77014</v>
      </c>
      <c r="E6" s="5">
        <f>ROUND(D6/10000,1)*10000</f>
        <v>979393049000</v>
      </c>
      <c r="K6" s="26">
        <v>2019</v>
      </c>
      <c r="L6" s="27">
        <f>+'2019'!E22</f>
        <v>2381000</v>
      </c>
    </row>
    <row r="7" spans="2:15" s="1" customFormat="1" ht="12.75" x14ac:dyDescent="0.2">
      <c r="B7" s="2" t="s">
        <v>4</v>
      </c>
      <c r="C7" s="3"/>
      <c r="D7" s="4">
        <v>129604935039.57999</v>
      </c>
      <c r="E7" s="5">
        <f>ROUND(D7/10000,1)*10000</f>
        <v>129604935000</v>
      </c>
      <c r="K7" s="26">
        <v>2020</v>
      </c>
      <c r="L7" s="27">
        <f>+'2020'!E24</f>
        <v>2404000</v>
      </c>
    </row>
    <row r="8" spans="2:15" s="1" customFormat="1" ht="12.75" x14ac:dyDescent="0.2">
      <c r="B8" s="2" t="s">
        <v>5</v>
      </c>
      <c r="C8" s="3"/>
      <c r="D8" s="4">
        <f>+D7-D9</f>
        <v>76542908653.999969</v>
      </c>
      <c r="E8" s="5">
        <f>ROUND(D8/10000,1)*10000</f>
        <v>76542909000</v>
      </c>
      <c r="K8" s="26">
        <v>2021</v>
      </c>
      <c r="L8" s="27">
        <f>+'2021'!E24</f>
        <v>2443000</v>
      </c>
    </row>
    <row r="9" spans="2:15" s="1" customFormat="1" ht="12.75" x14ac:dyDescent="0.2">
      <c r="B9" s="2" t="s">
        <v>6</v>
      </c>
      <c r="C9" s="3"/>
      <c r="D9" s="6">
        <v>53062026385.580009</v>
      </c>
      <c r="E9" s="7">
        <f>ROUND(D9/10000,1)*10000</f>
        <v>53062026000</v>
      </c>
      <c r="K9" s="26">
        <v>2022</v>
      </c>
      <c r="L9" s="27">
        <f>+E24</f>
        <v>2537000</v>
      </c>
    </row>
    <row r="10" spans="2:15" s="1" customFormat="1" ht="13.5" thickBot="1" x14ac:dyDescent="0.25">
      <c r="B10" s="2"/>
      <c r="C10" s="3"/>
      <c r="D10" s="4"/>
      <c r="E10" s="5">
        <f>+E7-E8-E9</f>
        <v>0</v>
      </c>
      <c r="L10" s="25">
        <f>SUM(L6:L9)</f>
        <v>9765000</v>
      </c>
    </row>
    <row r="11" spans="2:15" s="1" customFormat="1" ht="13.5" thickTop="1" x14ac:dyDescent="0.2">
      <c r="B11" s="8"/>
      <c r="C11" s="3"/>
      <c r="D11" s="6"/>
      <c r="E11" s="7"/>
    </row>
    <row r="12" spans="2:15" s="1" customFormat="1" ht="12.75" x14ac:dyDescent="0.2">
      <c r="B12" s="2" t="s">
        <v>30</v>
      </c>
      <c r="C12" s="3"/>
      <c r="D12" s="4">
        <f>(D9*8/1000)</f>
        <v>424496211.08464009</v>
      </c>
      <c r="E12" s="5">
        <f>ROUND(D12/10000,1)*10000</f>
        <v>424496000</v>
      </c>
    </row>
    <row r="13" spans="2:15" s="1" customFormat="1" ht="12.75" x14ac:dyDescent="0.2">
      <c r="B13" s="2" t="s">
        <v>8</v>
      </c>
      <c r="C13" s="3"/>
      <c r="D13" s="9">
        <f>+(D12*15)/100</f>
        <v>63674431.662696011</v>
      </c>
      <c r="E13" s="10">
        <f>ROUND(D13/10000,1)*10000</f>
        <v>63674000</v>
      </c>
    </row>
    <row r="14" spans="2:15" s="1" customFormat="1" ht="12.75" x14ac:dyDescent="0.2">
      <c r="B14" s="8" t="s">
        <v>9</v>
      </c>
      <c r="C14" s="3"/>
      <c r="D14" s="6">
        <f>SUM(D12:D13)</f>
        <v>488170642.74733609</v>
      </c>
      <c r="E14" s="7">
        <f>SUM(E12:E13)</f>
        <v>488170000</v>
      </c>
      <c r="F14" s="1" t="s">
        <v>28</v>
      </c>
      <c r="K14" s="32" t="s">
        <v>32</v>
      </c>
      <c r="L14" s="32" t="s">
        <v>34</v>
      </c>
      <c r="M14" s="32" t="s">
        <v>35</v>
      </c>
      <c r="N14" s="32" t="s">
        <v>36</v>
      </c>
      <c r="O14" s="32" t="s">
        <v>37</v>
      </c>
    </row>
    <row r="15" spans="2:15" s="1" customFormat="1" ht="12.75" x14ac:dyDescent="0.2">
      <c r="B15" s="39" t="s">
        <v>10</v>
      </c>
      <c r="C15" s="39"/>
      <c r="D15" s="9">
        <f>((+F15*27.8)*2)</f>
        <v>2113022.4</v>
      </c>
      <c r="E15" s="10">
        <f>ROUND(D15/10000,1)*10000</f>
        <v>2113000</v>
      </c>
      <c r="F15" s="24">
        <v>38004</v>
      </c>
      <c r="K15" s="26">
        <v>2019</v>
      </c>
      <c r="L15" s="27">
        <f>+'2019'!E18</f>
        <v>1905000</v>
      </c>
      <c r="M15" s="27">
        <f>+'2019'!E20</f>
        <v>476000</v>
      </c>
      <c r="N15" s="27">
        <f>+'2019'!E21</f>
        <v>0</v>
      </c>
      <c r="O15" s="27">
        <f>+L15+M15+N15</f>
        <v>2381000</v>
      </c>
    </row>
    <row r="16" spans="2:15" s="1" customFormat="1" ht="12.75" x14ac:dyDescent="0.2">
      <c r="B16" s="8"/>
      <c r="C16" s="3"/>
      <c r="D16" s="6">
        <f>D14+D15</f>
        <v>490283665.14733607</v>
      </c>
      <c r="E16" s="7">
        <f>E14+E15</f>
        <v>490283000</v>
      </c>
      <c r="K16" s="26">
        <v>2020</v>
      </c>
      <c r="L16" s="27">
        <f>+'2020'!E20</f>
        <v>1980000</v>
      </c>
      <c r="M16" s="27">
        <v>424000</v>
      </c>
      <c r="N16" s="27">
        <f>+'2020'!E23</f>
        <v>0</v>
      </c>
      <c r="O16" s="27">
        <f t="shared" ref="O16:O18" si="0">+L16+M16+N16</f>
        <v>2404000</v>
      </c>
    </row>
    <row r="17" spans="2:15" s="1" customFormat="1" ht="12.75" x14ac:dyDescent="0.2">
      <c r="B17" s="2" t="s">
        <v>11</v>
      </c>
      <c r="C17" s="3"/>
      <c r="D17" s="11">
        <f>+D14</f>
        <v>488170642.74733609</v>
      </c>
      <c r="E17" s="10">
        <f>ROUND(D17/10000,1)*10000</f>
        <v>488171000</v>
      </c>
      <c r="K17" s="26">
        <v>2021</v>
      </c>
      <c r="L17" s="27">
        <f>+'2021'!E20</f>
        <v>2019000</v>
      </c>
      <c r="M17" s="27">
        <v>424000</v>
      </c>
      <c r="N17" s="27">
        <f>+'2021'!E23</f>
        <v>0</v>
      </c>
      <c r="O17" s="27">
        <f t="shared" si="0"/>
        <v>2443000</v>
      </c>
    </row>
    <row r="18" spans="2:15" s="1" customFormat="1" ht="12.75" x14ac:dyDescent="0.2">
      <c r="B18" s="8" t="s">
        <v>12</v>
      </c>
      <c r="C18" s="8"/>
      <c r="D18" s="6">
        <f>+D16-D17</f>
        <v>2113022.3999999762</v>
      </c>
      <c r="E18" s="7">
        <f>ROUND(D18/10000,1)*10000</f>
        <v>2113000</v>
      </c>
      <c r="K18" s="26">
        <v>2022</v>
      </c>
      <c r="L18" s="27">
        <f>+E20</f>
        <v>2113000</v>
      </c>
      <c r="M18" s="27">
        <v>424000</v>
      </c>
      <c r="N18" s="27">
        <f>+E23</f>
        <v>0</v>
      </c>
      <c r="O18" s="27">
        <f t="shared" si="0"/>
        <v>2537000</v>
      </c>
    </row>
    <row r="19" spans="2:15" s="1" customFormat="1" ht="12.75" x14ac:dyDescent="0.2">
      <c r="B19" s="2" t="s">
        <v>13</v>
      </c>
      <c r="C19" s="2"/>
      <c r="D19" s="9">
        <v>0</v>
      </c>
      <c r="E19" s="10">
        <f>203000*0</f>
        <v>0</v>
      </c>
      <c r="K19" s="30" t="s">
        <v>37</v>
      </c>
      <c r="L19" s="31">
        <f>SUM(L15:L18)</f>
        <v>8017000</v>
      </c>
      <c r="M19" s="31">
        <f>SUM(M15:M18)</f>
        <v>1748000</v>
      </c>
      <c r="N19" s="31">
        <f>SUM(N15:N18)</f>
        <v>0</v>
      </c>
      <c r="O19" s="31">
        <f>SUM(O15:O18)</f>
        <v>9765000</v>
      </c>
    </row>
    <row r="20" spans="2:15" s="1" customFormat="1" ht="12.75" x14ac:dyDescent="0.2">
      <c r="B20" s="8" t="s">
        <v>14</v>
      </c>
      <c r="C20" s="2"/>
      <c r="D20" s="6">
        <f>+D18-D19</f>
        <v>2113022.3999999762</v>
      </c>
      <c r="E20" s="7">
        <f>+E18-E19</f>
        <v>2113000</v>
      </c>
      <c r="O20" s="33">
        <f>+L10-O19</f>
        <v>0</v>
      </c>
    </row>
    <row r="21" spans="2:15" x14ac:dyDescent="0.25">
      <c r="B21" s="2" t="s">
        <v>40</v>
      </c>
      <c r="C21" s="12">
        <v>1</v>
      </c>
      <c r="D21" s="18">
        <f>+D20*C21</f>
        <v>2113022.3999999762</v>
      </c>
      <c r="E21" s="18">
        <f>ROUND(D21/10000,1)*10000</f>
        <v>2113000</v>
      </c>
    </row>
    <row r="22" spans="2:15" x14ac:dyDescent="0.25">
      <c r="B22" s="2" t="s">
        <v>45</v>
      </c>
      <c r="C22" s="12"/>
      <c r="D22" s="18">
        <f>10*42412</f>
        <v>424120</v>
      </c>
      <c r="E22" s="18">
        <f>ROUND(D22/10000,1)*10000</f>
        <v>424000</v>
      </c>
      <c r="L22" s="18"/>
    </row>
    <row r="23" spans="2:15" x14ac:dyDescent="0.25">
      <c r="B23" s="2" t="s">
        <v>23</v>
      </c>
      <c r="C23" s="12"/>
      <c r="D23" s="18">
        <f>+C34*0</f>
        <v>0</v>
      </c>
      <c r="E23" s="18">
        <f>ROUND(D23/10000,1)*10000</f>
        <v>0</v>
      </c>
      <c r="L23" s="18"/>
    </row>
    <row r="24" spans="2:15" ht="15.75" thickBot="1" x14ac:dyDescent="0.3">
      <c r="B24" s="21" t="s">
        <v>25</v>
      </c>
      <c r="C24" s="22"/>
      <c r="D24" s="23">
        <f>+D20+D22+D23</f>
        <v>2537142.3999999762</v>
      </c>
      <c r="E24" s="23">
        <f>+E20+E22+E23</f>
        <v>2537000</v>
      </c>
    </row>
    <row r="25" spans="2:15" ht="15.75" thickTop="1" x14ac:dyDescent="0.25"/>
    <row r="28" spans="2:15" x14ac:dyDescent="0.25">
      <c r="B28" s="40" t="s">
        <v>18</v>
      </c>
      <c r="C28" s="40"/>
    </row>
    <row r="29" spans="2:15" x14ac:dyDescent="0.25">
      <c r="B29" s="13" t="s">
        <v>17</v>
      </c>
      <c r="C29" s="14">
        <f>+D18</f>
        <v>2113022.3999999762</v>
      </c>
    </row>
    <row r="30" spans="2:15" x14ac:dyDescent="0.25">
      <c r="B30" s="13" t="s">
        <v>20</v>
      </c>
      <c r="C30" s="15">
        <v>45041</v>
      </c>
    </row>
    <row r="31" spans="2:15" x14ac:dyDescent="0.25">
      <c r="B31" s="13" t="s">
        <v>21</v>
      </c>
      <c r="C31" s="15">
        <v>45168</v>
      </c>
    </row>
    <row r="32" spans="2:15" x14ac:dyDescent="0.25">
      <c r="B32" s="13" t="s">
        <v>19</v>
      </c>
      <c r="C32" s="14">
        <f>+C31-C30</f>
        <v>127</v>
      </c>
    </row>
    <row r="33" spans="2:3" x14ac:dyDescent="0.25">
      <c r="B33" s="13" t="s">
        <v>22</v>
      </c>
      <c r="C33" s="16">
        <v>0.4113</v>
      </c>
    </row>
    <row r="34" spans="2:3" ht="15.75" thickBot="1" x14ac:dyDescent="0.3">
      <c r="B34" s="19" t="s">
        <v>24</v>
      </c>
      <c r="C34" s="20">
        <v>302000</v>
      </c>
    </row>
    <row r="35" spans="2:3" ht="15.75" thickTop="1" x14ac:dyDescent="0.25"/>
  </sheetData>
  <mergeCells count="4">
    <mergeCell ref="B15:C15"/>
    <mergeCell ref="B28:C28"/>
    <mergeCell ref="B1:E1"/>
    <mergeCell ref="B2:E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EAB2E62A86024D8F5EB84924B68A03" ma:contentTypeVersion="18" ma:contentTypeDescription="Crear nuevo documento." ma:contentTypeScope="" ma:versionID="e086613791193bcc14d6e853236345f1">
  <xsd:schema xmlns:xsd="http://www.w3.org/2001/XMLSchema" xmlns:xs="http://www.w3.org/2001/XMLSchema" xmlns:p="http://schemas.microsoft.com/office/2006/metadata/properties" xmlns:ns2="18226cef-f45d-4c39-9594-dc63e41c65b1" xmlns:ns3="cc686391-ac23-4d5e-a038-adf2983a5e85" xmlns:ns4="3548ee4e-7fd7-408a-bfac-308dc9e349d2" targetNamespace="http://schemas.microsoft.com/office/2006/metadata/properties" ma:root="true" ma:fieldsID="c35f6c47388c2b87a851c23f1d843589" ns2:_="" ns3:_="" ns4:_="">
    <xsd:import namespace="18226cef-f45d-4c39-9594-dc63e41c65b1"/>
    <xsd:import namespace="cc686391-ac23-4d5e-a038-adf2983a5e85"/>
    <xsd:import namespace="3548ee4e-7fd7-408a-bfac-308dc9e349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Tag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26cef-f45d-4c39-9594-dc63e41c65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g" ma:index="19" nillable="true" ma:displayName="Tag" ma:internalName="Tag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d7ed182-1587-49e1-bb45-6efb152f56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86391-ac23-4d5e-a038-adf2983a5e8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8ee4e-7fd7-408a-bfac-308dc9e349d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Columna global de taxonomía" ma:hidden="true" ma:list="{f55a4108-c4ea-4ad6-8cb0-1af15b8a43d1}" ma:internalName="TaxCatchAll" ma:showField="CatchAllData" ma:web="3548ee4e-7fd7-408a-bfac-308dc9e349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g xmlns="18226cef-f45d-4c39-9594-dc63e41c65b1" xsi:nil="true"/>
    <lcf76f155ced4ddcb4097134ff3c332f xmlns="18226cef-f45d-4c39-9594-dc63e41c65b1">
      <Terms xmlns="http://schemas.microsoft.com/office/infopath/2007/PartnerControls"/>
    </lcf76f155ced4ddcb4097134ff3c332f>
    <TaxCatchAll xmlns="3548ee4e-7fd7-408a-bfac-308dc9e349d2" xsi:nil="true"/>
  </documentManagement>
</p:properties>
</file>

<file path=customXml/itemProps1.xml><?xml version="1.0" encoding="utf-8"?>
<ds:datastoreItem xmlns:ds="http://schemas.openxmlformats.org/officeDocument/2006/customXml" ds:itemID="{63E7DDE0-6900-4A89-8B8E-911714FDE2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124C28-9955-49D6-A382-887A57274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226cef-f45d-4c39-9594-dc63e41c65b1"/>
    <ds:schemaRef ds:uri="cc686391-ac23-4d5e-a038-adf2983a5e85"/>
    <ds:schemaRef ds:uri="3548ee4e-7fd7-408a-bfac-308dc9e349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32EFB2-2933-4F89-8ED0-916969CEC73A}">
  <ds:schemaRefs>
    <ds:schemaRef ds:uri="http://schemas.microsoft.com/office/2006/metadata/properties"/>
    <ds:schemaRef ds:uri="http://schemas.microsoft.com/office/infopath/2007/PartnerControls"/>
    <ds:schemaRef ds:uri="18226cef-f45d-4c39-9594-dc63e41c65b1"/>
    <ds:schemaRef ds:uri="3548ee4e-7fd7-408a-bfac-308dc9e349d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YUDI MARCELA CAJAMARCA</dc:creator>
  <cp:lastModifiedBy>YUDI MARCELA CAJAMARCA</cp:lastModifiedBy>
  <dcterms:created xsi:type="dcterms:W3CDTF">2023-08-02T14:56:46Z</dcterms:created>
  <dcterms:modified xsi:type="dcterms:W3CDTF">2023-08-22T21:10:24Z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0x010100E5EAB2E62A86024D8F5EB84924B68A03</vt:lpwstr>
  </property>
  <property fmtid="{D5CDD505-2E9C-101B-9397-08002B2CF9AE}" pid="3" name="MediaServiceImageTags">
    <vt:lpwstr/>
  </property>
</Properties>
</file>