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gha2-my.sharepoint.com/personal/nesquivel_gha_com_co/Documents/GHA ABOGADOS/2. CONTESTACION DEMANDAS/SOLIDARIDAD/ELA VALENTINA GAVIRIA BASTIDAS/"/>
    </mc:Choice>
  </mc:AlternateContent>
  <xr:revisionPtr revIDLastSave="3" documentId="13_ncr:1_{5FC99E77-2680-4110-AE16-A018EC527C73}" xr6:coauthVersionLast="47" xr6:coauthVersionMax="47" xr10:uidLastSave="{335E2CC6-2E5A-412F-B005-A4FE3A185AB2}"/>
  <bookViews>
    <workbookView xWindow="-120" yWindow="-120" windowWidth="20730" windowHeight="11040" xr2:uid="{69AAD36E-CAFA-43EB-832F-400E58192986}"/>
  </bookViews>
  <sheets>
    <sheet name="LIQ. PRETENSIONES DEMANDA" sheetId="13" r:id="rId1"/>
    <sheet name="PML" sheetId="1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15" l="1"/>
  <c r="F153" i="13"/>
  <c r="F151" i="13"/>
  <c r="E148" i="13"/>
  <c r="F148" i="13" s="1"/>
  <c r="F149" i="13" s="1"/>
  <c r="E144" i="13"/>
  <c r="F144" i="13" s="1"/>
  <c r="F145" i="13" s="1"/>
  <c r="E140" i="13"/>
  <c r="F140" i="13" s="1"/>
  <c r="F141" i="13" s="1"/>
  <c r="E136" i="13"/>
  <c r="F136" i="13" s="1"/>
  <c r="F137" i="13" s="1"/>
  <c r="E132" i="13"/>
  <c r="F132" i="13" s="1"/>
  <c r="F133" i="13" s="1"/>
  <c r="E9" i="13"/>
  <c r="E29" i="15"/>
  <c r="E34" i="15"/>
  <c r="F34" i="15" s="1"/>
  <c r="F35" i="15" s="1"/>
  <c r="E43" i="15"/>
  <c r="E42" i="15"/>
  <c r="H40" i="15"/>
  <c r="I40" i="15" s="1"/>
  <c r="E44" i="15" s="1"/>
  <c r="E9" i="15"/>
  <c r="F9" i="15" s="1"/>
  <c r="E10" i="15"/>
  <c r="F10" i="15" s="1"/>
  <c r="E24" i="15"/>
  <c r="E19" i="15"/>
  <c r="E14" i="15"/>
  <c r="B123" i="13"/>
  <c r="F123" i="13" s="1"/>
  <c r="E118" i="13"/>
  <c r="F118" i="13" s="1"/>
  <c r="E117" i="13"/>
  <c r="F117" i="13" s="1"/>
  <c r="E116" i="13"/>
  <c r="F116" i="13" s="1"/>
  <c r="E115" i="13"/>
  <c r="F115" i="13" s="1"/>
  <c r="E114" i="13"/>
  <c r="F114" i="13" s="1"/>
  <c r="E113" i="13"/>
  <c r="F113" i="13" s="1"/>
  <c r="E112" i="13"/>
  <c r="F112" i="13" s="1"/>
  <c r="E111" i="13"/>
  <c r="F111" i="13" s="1"/>
  <c r="E110" i="13"/>
  <c r="F110" i="13" s="1"/>
  <c r="E109" i="13"/>
  <c r="F109" i="13" s="1"/>
  <c r="E108" i="13"/>
  <c r="F108" i="13" s="1"/>
  <c r="E107" i="13"/>
  <c r="F107" i="13" s="1"/>
  <c r="E101" i="13"/>
  <c r="E100" i="13"/>
  <c r="H98" i="13"/>
  <c r="I98" i="13" s="1"/>
  <c r="E102" i="13" s="1"/>
  <c r="F102" i="13" s="1"/>
  <c r="F103" i="13" s="1"/>
  <c r="F119" i="13" l="1"/>
  <c r="F44" i="15"/>
  <c r="F45" i="15" s="1"/>
  <c r="F14" i="15"/>
  <c r="D24" i="15" s="1"/>
  <c r="F24" i="15" s="1"/>
  <c r="D29" i="15" s="1"/>
  <c r="F29" i="15" s="1"/>
  <c r="F15" i="15"/>
  <c r="E91" i="13"/>
  <c r="F91" i="13" s="1"/>
  <c r="F92" i="13" s="1"/>
  <c r="E87" i="13"/>
  <c r="E86" i="13"/>
  <c r="E85" i="13"/>
  <c r="E84" i="13"/>
  <c r="E83" i="13"/>
  <c r="E82" i="13"/>
  <c r="E81" i="13"/>
  <c r="E80" i="13"/>
  <c r="E79" i="13"/>
  <c r="E78" i="13"/>
  <c r="E77" i="13"/>
  <c r="E76" i="13"/>
  <c r="E75" i="13"/>
  <c r="E69" i="13"/>
  <c r="E68" i="13"/>
  <c r="E67" i="13"/>
  <c r="E66" i="13"/>
  <c r="E65" i="13"/>
  <c r="E64" i="13"/>
  <c r="E63" i="13"/>
  <c r="E62" i="13"/>
  <c r="E61" i="13"/>
  <c r="E60" i="13"/>
  <c r="E59" i="13"/>
  <c r="E70" i="13"/>
  <c r="E58" i="13"/>
  <c r="E52" i="13"/>
  <c r="E51" i="13"/>
  <c r="E50" i="13"/>
  <c r="E49" i="13"/>
  <c r="E48" i="13"/>
  <c r="E47" i="13"/>
  <c r="E46" i="13"/>
  <c r="E45" i="13"/>
  <c r="E44" i="13"/>
  <c r="E43" i="13"/>
  <c r="E42" i="13"/>
  <c r="E53" i="13"/>
  <c r="E41" i="13"/>
  <c r="E36" i="13"/>
  <c r="E35" i="13"/>
  <c r="E34" i="13"/>
  <c r="E33" i="13"/>
  <c r="E32" i="13"/>
  <c r="E31" i="13"/>
  <c r="E30" i="13"/>
  <c r="E29" i="13"/>
  <c r="E28" i="13"/>
  <c r="E27" i="13"/>
  <c r="E26" i="13"/>
  <c r="E37" i="13"/>
  <c r="E25" i="13"/>
  <c r="D20" i="15" l="1"/>
  <c r="F20" i="15" s="1"/>
  <c r="D19" i="15"/>
  <c r="F19" i="15" s="1"/>
  <c r="D25" i="15"/>
  <c r="F25" i="15" s="1"/>
  <c r="D30" i="15" s="1"/>
  <c r="F30" i="15" s="1"/>
  <c r="F31" i="15" s="1"/>
  <c r="F16" i="15"/>
  <c r="E21" i="13"/>
  <c r="F21" i="13" s="1"/>
  <c r="F37" i="13" s="1"/>
  <c r="E20" i="13"/>
  <c r="F20" i="13" s="1"/>
  <c r="F36" i="13" s="1"/>
  <c r="E19" i="13"/>
  <c r="F19" i="13" s="1"/>
  <c r="F35" i="13" s="1"/>
  <c r="E18" i="13"/>
  <c r="F18" i="13" s="1"/>
  <c r="F34" i="13" s="1"/>
  <c r="E17" i="13"/>
  <c r="F17" i="13" s="1"/>
  <c r="F33" i="13" s="1"/>
  <c r="E16" i="13"/>
  <c r="F16" i="13" s="1"/>
  <c r="F32" i="13" s="1"/>
  <c r="E15" i="13"/>
  <c r="F15" i="13" s="1"/>
  <c r="F31" i="13" s="1"/>
  <c r="E14" i="13"/>
  <c r="F14" i="13" s="1"/>
  <c r="F30" i="13" s="1"/>
  <c r="E13" i="13"/>
  <c r="F13" i="13" s="1"/>
  <c r="F29" i="13" s="1"/>
  <c r="E12" i="13"/>
  <c r="F12" i="13" s="1"/>
  <c r="F28" i="13" s="1"/>
  <c r="E11" i="13"/>
  <c r="F11" i="13" s="1"/>
  <c r="F27" i="13" s="1"/>
  <c r="E10" i="13"/>
  <c r="F10" i="13" s="1"/>
  <c r="F26" i="13" s="1"/>
  <c r="F9" i="13"/>
  <c r="F25" i="13" s="1"/>
  <c r="F21" i="15" l="1"/>
  <c r="F38" i="13"/>
  <c r="D58" i="13"/>
  <c r="F58" i="13" s="1"/>
  <c r="D75" i="13" s="1"/>
  <c r="F75" i="13" s="1"/>
  <c r="D41" i="13"/>
  <c r="F41" i="13" s="1"/>
  <c r="D62" i="13"/>
  <c r="F62" i="13" s="1"/>
  <c r="D79" i="13" s="1"/>
  <c r="F79" i="13" s="1"/>
  <c r="D45" i="13"/>
  <c r="F45" i="13" s="1"/>
  <c r="D69" i="13"/>
  <c r="F69" i="13" s="1"/>
  <c r="D86" i="13" s="1"/>
  <c r="F86" i="13" s="1"/>
  <c r="D52" i="13"/>
  <c r="F52" i="13" s="1"/>
  <c r="D64" i="13"/>
  <c r="F64" i="13" s="1"/>
  <c r="D81" i="13" s="1"/>
  <c r="F81" i="13" s="1"/>
  <c r="D47" i="13"/>
  <c r="F47" i="13" s="1"/>
  <c r="D70" i="13"/>
  <c r="F70" i="13" s="1"/>
  <c r="D87" i="13" s="1"/>
  <c r="F87" i="13" s="1"/>
  <c r="D53" i="13"/>
  <c r="F53" i="13" s="1"/>
  <c r="D44" i="13"/>
  <c r="F44" i="13" s="1"/>
  <c r="D61" i="13"/>
  <c r="F61" i="13" s="1"/>
  <c r="D78" i="13" s="1"/>
  <c r="F78" i="13" s="1"/>
  <c r="D65" i="13"/>
  <c r="F65" i="13" s="1"/>
  <c r="D82" i="13" s="1"/>
  <c r="F82" i="13" s="1"/>
  <c r="D48" i="13"/>
  <c r="F48" i="13" s="1"/>
  <c r="D43" i="13"/>
  <c r="F43" i="13" s="1"/>
  <c r="D60" i="13"/>
  <c r="F60" i="13" s="1"/>
  <c r="D77" i="13" s="1"/>
  <c r="F77" i="13" s="1"/>
  <c r="D59" i="13"/>
  <c r="F59" i="13" s="1"/>
  <c r="D76" i="13" s="1"/>
  <c r="F76" i="13" s="1"/>
  <c r="D42" i="13"/>
  <c r="F42" i="13" s="1"/>
  <c r="D46" i="13"/>
  <c r="F46" i="13" s="1"/>
  <c r="D63" i="13"/>
  <c r="F63" i="13" s="1"/>
  <c r="D80" i="13" s="1"/>
  <c r="F80" i="13" s="1"/>
  <c r="D49" i="13"/>
  <c r="F49" i="13" s="1"/>
  <c r="D66" i="13"/>
  <c r="F66" i="13" s="1"/>
  <c r="D83" i="13" s="1"/>
  <c r="F83" i="13" s="1"/>
  <c r="D50" i="13"/>
  <c r="F50" i="13" s="1"/>
  <c r="D67" i="13"/>
  <c r="F67" i="13" s="1"/>
  <c r="D84" i="13" s="1"/>
  <c r="F84" i="13" s="1"/>
  <c r="D68" i="13"/>
  <c r="F68" i="13" s="1"/>
  <c r="D85" i="13" s="1"/>
  <c r="F85" i="13" s="1"/>
  <c r="D51" i="13"/>
  <c r="F51" i="13" s="1"/>
  <c r="F26" i="15"/>
  <c r="F71" i="13" l="1"/>
  <c r="F54" i="13"/>
  <c r="F125" i="13" s="1"/>
  <c r="F88" i="13"/>
</calcChain>
</file>

<file path=xl/sharedStrings.xml><?xml version="1.0" encoding="utf-8"?>
<sst xmlns="http://schemas.openxmlformats.org/spreadsheetml/2006/main" count="154" uniqueCount="55">
  <si>
    <t>DESDE</t>
  </si>
  <si>
    <t>HASTA</t>
  </si>
  <si>
    <t>SALARIO</t>
  </si>
  <si>
    <t>DÍAS</t>
  </si>
  <si>
    <t>TOTAL ADEUDADO</t>
  </si>
  <si>
    <t>PRIMAS</t>
  </si>
  <si>
    <t>CESANTÍAS</t>
  </si>
  <si>
    <t>INTERESES</t>
  </si>
  <si>
    <t>VACACIONES</t>
  </si>
  <si>
    <t>INDEMNIZACIÓN DEL ARTÍCULO 26 DE LA LEY 361 DE 1997. (180 DÍAS DE SALARIO)</t>
  </si>
  <si>
    <t>Salario diario</t>
  </si>
  <si>
    <t>x 180 DÍAS</t>
  </si>
  <si>
    <t>Total</t>
  </si>
  <si>
    <t>INDEMNIZACIÓN ARTÍCULO 64 DEL C.S.T.</t>
  </si>
  <si>
    <t>AÑO</t>
  </si>
  <si>
    <t>MES</t>
  </si>
  <si>
    <t>DÍA</t>
  </si>
  <si>
    <t>Tiempo Laborado en:</t>
  </si>
  <si>
    <t>Días</t>
  </si>
  <si>
    <t>Años</t>
  </si>
  <si>
    <t>Fecha de Ingreso:</t>
  </si>
  <si>
    <t>Ingreso Mensual:</t>
  </si>
  <si>
    <t>Ingreso Diario:</t>
  </si>
  <si>
    <t>Indemnización primer año</t>
  </si>
  <si>
    <t>Indemnización años adicionales:</t>
  </si>
  <si>
    <t>Total Indemnizacón:</t>
  </si>
  <si>
    <t>SANCIÓN POR NO CONSIGNACIÓN DE CESANTÍAS</t>
  </si>
  <si>
    <t>SANCIÓN</t>
  </si>
  <si>
    <t>Total Liquidación:</t>
  </si>
  <si>
    <t>SALARIOS DEVENGADOS</t>
  </si>
  <si>
    <t xml:space="preserve">SALARIOS PRETENDIDOS </t>
  </si>
  <si>
    <t>DIFERENCIA</t>
  </si>
  <si>
    <t>DIFERENCIA VLR DIA</t>
  </si>
  <si>
    <t>DIFERENCIAS SALARIALES AÑOS/CARGO PRETENDIDO (OPERARIA DE PRODUCCIÓN)</t>
  </si>
  <si>
    <t>REAJUSTE SALARIAL</t>
  </si>
  <si>
    <t>FECHA INICIAL</t>
  </si>
  <si>
    <t>FECHA FINAL</t>
  </si>
  <si>
    <t>No. DÍAS</t>
  </si>
  <si>
    <t xml:space="preserve">TOTAL DIFERENCIA </t>
  </si>
  <si>
    <t>TOTAL</t>
  </si>
  <si>
    <t xml:space="preserve">SALARIOS DEJADOS DE PERCIBIR </t>
  </si>
  <si>
    <t>PRIMAS DEJADAS DE PERCIBIR</t>
  </si>
  <si>
    <t>CESANTÍAS DEJADAS DE PERCIBIR</t>
  </si>
  <si>
    <t>INTERESES DEJADOS DE PERCIBIR</t>
  </si>
  <si>
    <t>Fecha de Liquidación:</t>
  </si>
  <si>
    <t>LIQUIDACIÓN PARA FACTURACIÓN (CONFORME A LOS AMPAROS DE LA PÓLIZA)</t>
  </si>
  <si>
    <t>*Nota: Conforme al clausulado que nos envió la compañía, las pólizas amparan el pago de salarios, prestaciones sociales y la indemnización del artículo 64 del CST. Sin embargo, por instrucción de la cía se incluyen las vacaciones para el calculo del PML</t>
  </si>
  <si>
    <t>VACACIONES DEJADAS DE PERCIBIR</t>
  </si>
  <si>
    <t>La demandante solicita la nivelación salarial por el tiempo laborado desde el 5/01/2004 hasta el 07/09/2016 y adicional, solicita el reintegro y lo dejado de percibir desde el momento de la terminación del contrato hasta  la fecha de sentencia,  Por lo tanto se realiza (i) diferencia salarial entre lo que percibía la demandante y lo que percibía un trabajador de planta, se precisa que solo se conoce el último salario que devengaba la demandante al 2016 ($919.079) y que la apoderada de la demandante relaciona los salarios pretendidos, en ese sentido y como quiera que se desconocen los salarios que percibió la demandante para los años 2004 al 2015, se tomará el SMLMV, (ii) se liquidan los salarios dejados de percibir desde el 08/09/2016 al 08/11/2023 (fecha en que se efectúa la liquidación).</t>
  </si>
  <si>
    <t xml:space="preserve">Los salarios pretendidos por la demandante se avizoran en la página 105 del expediente digital </t>
  </si>
  <si>
    <t>LIQUIDACIÓN DE LAS PRETENSIONES DE LA DEMANDA DESDE EL 05/01/2004 AL 07/09/2016</t>
  </si>
  <si>
    <t>Fecha de Terminación:</t>
  </si>
  <si>
    <t>LIQUIDACIÓN DE LAS PRETENSIONES DE LA DEMANDA DESDE EL 08/09/2016 AL 08/11/2023</t>
  </si>
  <si>
    <t>Total AMBAS LIQUIDACIONES:</t>
  </si>
  <si>
    <t>*Nota: La vigencia de la póliza No. 03CU046545 inicia el 01/01/2011 y fenece el 01/01/2015 teniendo en cuenta el término de prescripción trienal. Las prestaciones e indemnizaciones que solicita la parte demandante, se encuentran dentro de la vigencia de la póliza para un interregno especifico ya que solicita salarios y prestaciones sociales dejados de percibir desde el día de vinculación a la empresa (05/01/2004) hasta la fecha de hoy (08/11/2023), no obstante, y conforme a instrucciones la compañía, la liquidación se efectuara hasta el 01/01/2012, es decir, sin tener en cuenta el término de prescripción trienal, máxime si se tiene en cuenta que en otros procesos dicho termino de prescripción trienal se tieen en cuenta para el calculo del PML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</si>
</sst>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 #,##0.00;[Red]\-&quot;$&quot;\ #,##0.00"/>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_ &quot;$&quot;\ * #,##0_ ;_ &quot;$&quot;\ * \-#,##0_ ;_ &quot;$&quot;\ * &quot;-&quot;_ ;_ @_ "/>
    <numFmt numFmtId="167" formatCode="_ * #,##0_ ;_ * \-#,##0_ ;_ * &quot;-&quot;_ ;_ @_ "/>
    <numFmt numFmtId="168" formatCode="_ &quot;$&quot;\ * #,##0.00_ ;_ &quot;$&quot;\ * \-#,##0.00_ ;_ &quot;$&quot;\ * &quot;-&quot;??_ ;_ @_ "/>
    <numFmt numFmtId="169" formatCode="0.0"/>
    <numFmt numFmtId="170" formatCode="&quot;$&quot;\ #,##0"/>
  </numFmts>
  <fonts count="11" x14ac:knownFonts="1">
    <font>
      <sz val="11"/>
      <color theme="1"/>
      <name val="Calibri"/>
      <family val="2"/>
      <scheme val="minor"/>
    </font>
    <font>
      <sz val="11"/>
      <color theme="1"/>
      <name val="Calibri"/>
      <family val="2"/>
      <scheme val="minor"/>
    </font>
    <font>
      <sz val="10"/>
      <name val="Arial"/>
      <family val="2"/>
    </font>
    <font>
      <b/>
      <sz val="9"/>
      <color theme="1"/>
      <name val="Calibri"/>
      <family val="2"/>
      <scheme val="minor"/>
    </font>
    <font>
      <sz val="9"/>
      <color theme="1"/>
      <name val="Calibri"/>
      <family val="2"/>
      <scheme val="minor"/>
    </font>
    <font>
      <b/>
      <u/>
      <sz val="9"/>
      <color theme="1"/>
      <name val="Calibri"/>
      <family val="2"/>
      <scheme val="minor"/>
    </font>
    <font>
      <b/>
      <sz val="10"/>
      <color theme="0"/>
      <name val="Calibri"/>
      <family val="2"/>
      <scheme val="minor"/>
    </font>
    <font>
      <sz val="9"/>
      <name val="Arial"/>
      <family val="2"/>
    </font>
    <font>
      <b/>
      <sz val="9"/>
      <name val="Arial"/>
      <family val="2"/>
    </font>
    <font>
      <b/>
      <sz val="9"/>
      <color theme="1"/>
      <name val="Arial"/>
      <family val="2"/>
    </font>
    <font>
      <sz val="9"/>
      <color rgb="FF00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
      <patternFill patternType="solid">
        <fgColor theme="4" tint="0.79998168889431442"/>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9">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167" fontId="2"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69">
    <xf numFmtId="0" fontId="0" fillId="0" borderId="0" xfId="0"/>
    <xf numFmtId="0" fontId="3" fillId="0" borderId="1" xfId="0" applyFont="1" applyBorder="1" applyAlignment="1">
      <alignment horizontal="center"/>
    </xf>
    <xf numFmtId="164" fontId="3" fillId="2" borderId="1" xfId="1" applyNumberFormat="1" applyFont="1" applyFill="1" applyBorder="1" applyAlignment="1">
      <alignment horizontal="center"/>
    </xf>
    <xf numFmtId="164" fontId="4" fillId="0" borderId="1" xfId="1" applyNumberFormat="1" applyFont="1" applyBorder="1"/>
    <xf numFmtId="164" fontId="4" fillId="0" borderId="1" xfId="1" applyNumberFormat="1" applyFont="1" applyFill="1" applyBorder="1"/>
    <xf numFmtId="164" fontId="3" fillId="3" borderId="1" xfId="1" applyNumberFormat="1" applyFont="1" applyFill="1" applyBorder="1"/>
    <xf numFmtId="0" fontId="4" fillId="0" borderId="0" xfId="0" applyFont="1"/>
    <xf numFmtId="0" fontId="3" fillId="0" borderId="1" xfId="0" applyFont="1" applyBorder="1" applyAlignment="1">
      <alignment horizontal="center" vertical="center"/>
    </xf>
    <xf numFmtId="44" fontId="6" fillId="4" borderId="1" xfId="0" applyNumberFormat="1" applyFont="1" applyFill="1" applyBorder="1"/>
    <xf numFmtId="165" fontId="3" fillId="3" borderId="1" xfId="0" applyNumberFormat="1" applyFont="1" applyFill="1" applyBorder="1"/>
    <xf numFmtId="14" fontId="4" fillId="0" borderId="1" xfId="0" applyNumberFormat="1" applyFont="1" applyBorder="1"/>
    <xf numFmtId="164" fontId="4" fillId="0" borderId="1" xfId="7" applyNumberFormat="1" applyFont="1" applyBorder="1"/>
    <xf numFmtId="14" fontId="4" fillId="0" borderId="1" xfId="0" applyNumberFormat="1" applyFont="1" applyBorder="1" applyAlignment="1">
      <alignment horizontal="center"/>
    </xf>
    <xf numFmtId="0" fontId="8" fillId="0" borderId="7"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8" fillId="2" borderId="1" xfId="0" applyFont="1" applyFill="1" applyBorder="1" applyAlignment="1">
      <alignment horizontal="center"/>
    </xf>
    <xf numFmtId="169" fontId="8" fillId="2" borderId="1" xfId="0" applyNumberFormat="1" applyFont="1" applyFill="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3" fontId="7" fillId="0" borderId="1" xfId="0" applyNumberFormat="1" applyFont="1" applyBorder="1" applyAlignment="1">
      <alignment horizontal="center"/>
    </xf>
    <xf numFmtId="2" fontId="7" fillId="0" borderId="1" xfId="0" applyNumberFormat="1" applyFont="1" applyBorder="1" applyAlignment="1">
      <alignment horizontal="center"/>
    </xf>
    <xf numFmtId="2" fontId="8" fillId="0" borderId="7" xfId="0" applyNumberFormat="1" applyFont="1" applyBorder="1" applyAlignment="1">
      <alignment horizontal="center"/>
    </xf>
    <xf numFmtId="0" fontId="8" fillId="0" borderId="1" xfId="0" applyFont="1" applyBorder="1"/>
    <xf numFmtId="164" fontId="3" fillId="0" borderId="1" xfId="1" applyNumberFormat="1" applyFont="1" applyBorder="1" applyAlignment="1">
      <alignment horizontal="center"/>
    </xf>
    <xf numFmtId="14" fontId="4" fillId="0" borderId="1" xfId="0" applyNumberFormat="1" applyFont="1" applyBorder="1" applyAlignment="1">
      <alignment horizontal="center" vertical="center"/>
    </xf>
    <xf numFmtId="0" fontId="4" fillId="0" borderId="1" xfId="0" applyFont="1" applyBorder="1" applyAlignment="1">
      <alignment horizontal="right" vertical="center"/>
    </xf>
    <xf numFmtId="170" fontId="4" fillId="0" borderId="1" xfId="0" applyNumberFormat="1" applyFont="1" applyBorder="1" applyAlignment="1">
      <alignment horizontal="right" vertical="center" wrapText="1"/>
    </xf>
    <xf numFmtId="165" fontId="4" fillId="0" borderId="1" xfId="0" applyNumberFormat="1" applyFont="1" applyBorder="1" applyAlignment="1">
      <alignment horizontal="right" vertical="center"/>
    </xf>
    <xf numFmtId="170" fontId="4" fillId="0" borderId="1" xfId="2" applyNumberFormat="1" applyFont="1" applyFill="1" applyBorder="1" applyAlignment="1">
      <alignment horizontal="right" vertical="center" wrapText="1"/>
    </xf>
    <xf numFmtId="0" fontId="4" fillId="0" borderId="1" xfId="0" applyFont="1" applyBorder="1" applyAlignment="1">
      <alignment horizontal="right" vertical="center" wrapText="1"/>
    </xf>
    <xf numFmtId="0" fontId="3" fillId="0" borderId="1" xfId="0" applyFont="1" applyBorder="1" applyAlignment="1">
      <alignment horizontal="right" vertical="center"/>
    </xf>
    <xf numFmtId="14" fontId="4" fillId="0" borderId="1" xfId="0" applyNumberFormat="1" applyFont="1" applyBorder="1" applyAlignment="1">
      <alignment horizontal="right" vertical="center"/>
    </xf>
    <xf numFmtId="164" fontId="4" fillId="0" borderId="1" xfId="1" applyNumberFormat="1" applyFont="1" applyFill="1" applyBorder="1" applyAlignment="1">
      <alignment vertical="center"/>
    </xf>
    <xf numFmtId="164" fontId="4" fillId="0" borderId="1" xfId="7" applyNumberFormat="1" applyFont="1" applyBorder="1" applyAlignment="1">
      <alignment vertical="center"/>
    </xf>
    <xf numFmtId="164" fontId="4" fillId="0" borderId="1" xfId="1" applyNumberFormat="1" applyFont="1" applyBorder="1" applyAlignment="1">
      <alignment vertical="center"/>
    </xf>
    <xf numFmtId="165" fontId="3" fillId="3" borderId="1" xfId="0" applyNumberFormat="1" applyFont="1" applyFill="1" applyBorder="1" applyAlignment="1">
      <alignment horizontal="right" vertical="center"/>
    </xf>
    <xf numFmtId="165" fontId="6" fillId="4" borderId="1" xfId="0" applyNumberFormat="1" applyFont="1" applyFill="1" applyBorder="1"/>
    <xf numFmtId="0" fontId="6" fillId="4" borderId="1" xfId="0" applyFont="1" applyFill="1" applyBorder="1" applyAlignment="1">
      <alignment horizontal="center"/>
    </xf>
    <xf numFmtId="0" fontId="3" fillId="0" borderId="1" xfId="0" applyFont="1" applyBorder="1" applyAlignment="1">
      <alignment horizontal="center"/>
    </xf>
    <xf numFmtId="0" fontId="5" fillId="3" borderId="3" xfId="0" applyFont="1" applyFill="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0" fontId="3" fillId="0" borderId="1" xfId="0" applyFont="1" applyBorder="1" applyAlignment="1">
      <alignment horizontal="right" vertical="center"/>
    </xf>
    <xf numFmtId="0" fontId="7" fillId="0" borderId="1" xfId="0" applyFont="1" applyBorder="1" applyAlignment="1">
      <alignment horizontal="center"/>
    </xf>
    <xf numFmtId="8" fontId="8" fillId="0" borderId="1" xfId="0" applyNumberFormat="1" applyFont="1" applyBorder="1" applyAlignment="1">
      <alignment horizontal="center"/>
    </xf>
    <xf numFmtId="0" fontId="8" fillId="0" borderId="1" xfId="0" applyFont="1" applyBorder="1" applyAlignment="1">
      <alignment horizontal="center"/>
    </xf>
    <xf numFmtId="8" fontId="8" fillId="3" borderId="1" xfId="0" applyNumberFormat="1" applyFont="1" applyFill="1" applyBorder="1" applyAlignment="1">
      <alignment horizontal="center"/>
    </xf>
    <xf numFmtId="0" fontId="10" fillId="2" borderId="0" xfId="0" applyFont="1" applyFill="1" applyAlignment="1">
      <alignment horizontal="center" vertical="center" wrapText="1"/>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165" fontId="4" fillId="0" borderId="2" xfId="2" applyNumberFormat="1" applyFont="1" applyBorder="1" applyAlignment="1">
      <alignment horizontal="center"/>
    </xf>
    <xf numFmtId="165" fontId="4" fillId="0" borderId="5" xfId="2" applyNumberFormat="1" applyFont="1" applyBorder="1" applyAlignment="1">
      <alignment horizontal="center"/>
    </xf>
    <xf numFmtId="0" fontId="4" fillId="0" borderId="2" xfId="0" applyFont="1" applyBorder="1" applyAlignment="1">
      <alignment horizontal="center"/>
    </xf>
    <xf numFmtId="0" fontId="4" fillId="0" borderId="5" xfId="0" applyFont="1" applyBorder="1" applyAlignment="1">
      <alignment horizontal="center"/>
    </xf>
    <xf numFmtId="8" fontId="7" fillId="0" borderId="1" xfId="0" applyNumberFormat="1" applyFont="1" applyBorder="1" applyAlignment="1">
      <alignment horizontal="center"/>
    </xf>
    <xf numFmtId="0" fontId="7" fillId="0" borderId="7" xfId="0" applyFont="1" applyBorder="1" applyAlignment="1">
      <alignment horizontal="center"/>
    </xf>
    <xf numFmtId="0" fontId="9" fillId="0" borderId="6" xfId="0" applyFont="1" applyBorder="1" applyAlignment="1">
      <alignment horizont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0" fillId="5" borderId="0" xfId="0" applyFont="1" applyFill="1" applyAlignment="1">
      <alignment horizontal="center" vertical="center" wrapText="1"/>
    </xf>
    <xf numFmtId="0" fontId="0" fillId="2" borderId="0" xfId="0" applyFill="1" applyAlignment="1">
      <alignment horizontal="center" vertical="center" wrapText="1"/>
    </xf>
  </cellXfs>
  <cellStyles count="19">
    <cellStyle name="Millares" xfId="1" builtinId="3"/>
    <cellStyle name="Millares [0] 2" xfId="4" xr:uid="{3555D9B7-EA0C-4C21-A235-0CD6BE1EC253}"/>
    <cellStyle name="Millares 2" xfId="9" xr:uid="{52E748A6-508A-43EC-9983-10807D820023}"/>
    <cellStyle name="Millares 3" xfId="11" xr:uid="{489BD241-C3FF-4DFE-89AE-EA3930EC2C75}"/>
    <cellStyle name="Millares 4" xfId="7" xr:uid="{30B7C3BA-0FB0-470D-88BE-FBEF74427B88}"/>
    <cellStyle name="Millares 5" xfId="13" xr:uid="{79326964-5294-479E-B982-0A5948E6458E}"/>
    <cellStyle name="Millares 6" xfId="16" xr:uid="{ABFDC7D0-759F-45EB-9979-8CD3F87889E5}"/>
    <cellStyle name="Millares 7" xfId="17" xr:uid="{72D20068-0C5D-4F50-AC02-07E6A4FFC489}"/>
    <cellStyle name="Moneda" xfId="2" builtinId="4"/>
    <cellStyle name="Moneda [0] 2" xfId="6" xr:uid="{40580231-C906-4C03-A65D-3EA45064320D}"/>
    <cellStyle name="Moneda 2" xfId="5" xr:uid="{60B0EB24-56E2-4FB9-B187-077D7FCBAA83}"/>
    <cellStyle name="Moneda 3" xfId="10" xr:uid="{B553DF60-E9E3-43DE-950B-5D5A0815FFF2}"/>
    <cellStyle name="Moneda 4" xfId="12" xr:uid="{91876A93-028D-40C8-982D-CCA51D4D575D}"/>
    <cellStyle name="Moneda 5" xfId="8" xr:uid="{A7350134-E2AE-4379-A4D5-B823FC54C5D3}"/>
    <cellStyle name="Moneda 6" xfId="14" xr:uid="{BF3C704B-FB29-4786-98E8-8A8CE20070B2}"/>
    <cellStyle name="Moneda 7" xfId="15" xr:uid="{B8E0172D-6407-491A-BE97-75C736043314}"/>
    <cellStyle name="Moneda 8" xfId="18" xr:uid="{13FC20D7-8F78-4A7B-9489-8EA425E6F4E0}"/>
    <cellStyle name="Normal" xfId="0" builtinId="0"/>
    <cellStyle name="Normal 2" xfId="3" xr:uid="{C2E01C61-3397-4CB6-9BBE-5E165668D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408861</xdr:colOff>
      <xdr:row>3</xdr:row>
      <xdr:rowOff>161925</xdr:rowOff>
    </xdr:to>
    <xdr:pic>
      <xdr:nvPicPr>
        <xdr:cNvPr id="2" name="Imagen 1">
          <a:extLst>
            <a:ext uri="{FF2B5EF4-FFF2-40B4-BE49-F238E27FC236}">
              <a16:creationId xmlns:a16="http://schemas.microsoft.com/office/drawing/2014/main" id="{FE6F3FE4-BD54-47BA-A2CE-8306CE66056C}"/>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408861</xdr:colOff>
      <xdr:row>3</xdr:row>
      <xdr:rowOff>161925</xdr:rowOff>
    </xdr:to>
    <xdr:pic>
      <xdr:nvPicPr>
        <xdr:cNvPr id="2" name="Imagen 1">
          <a:extLst>
            <a:ext uri="{FF2B5EF4-FFF2-40B4-BE49-F238E27FC236}">
              <a16:creationId xmlns:a16="http://schemas.microsoft.com/office/drawing/2014/main" id="{3045E50A-72CF-45D4-B8BC-C6081E87459A}"/>
            </a:ext>
          </a:extLst>
        </xdr:cNvPr>
        <xdr:cNvPicPr>
          <a:picLocks noChangeAspect="1"/>
        </xdr:cNvPicPr>
      </xdr:nvPicPr>
      <xdr:blipFill>
        <a:blip xmlns:r="http://schemas.openxmlformats.org/officeDocument/2006/relationships" r:embed="rId1"/>
        <a:stretch>
          <a:fillRect/>
        </a:stretch>
      </xdr:blipFill>
      <xdr:spPr>
        <a:xfrm>
          <a:off x="1714499" y="0"/>
          <a:ext cx="2837737" cy="733425"/>
        </a:xfrm>
        <a:prstGeom prst="rect">
          <a:avLst/>
        </a:prstGeom>
      </xdr:spPr>
    </xdr:pic>
    <xdr:clientData/>
  </xdr:twoCellAnchor>
  <xdr:twoCellAnchor editAs="oneCell">
    <xdr:from>
      <xdr:col>2</xdr:col>
      <xdr:colOff>142874</xdr:colOff>
      <xdr:row>0</xdr:row>
      <xdr:rowOff>0</xdr:rowOff>
    </xdr:from>
    <xdr:to>
      <xdr:col>4</xdr:col>
      <xdr:colOff>408861</xdr:colOff>
      <xdr:row>3</xdr:row>
      <xdr:rowOff>161925</xdr:rowOff>
    </xdr:to>
    <xdr:pic>
      <xdr:nvPicPr>
        <xdr:cNvPr id="3" name="Imagen 2">
          <a:extLst>
            <a:ext uri="{FF2B5EF4-FFF2-40B4-BE49-F238E27FC236}">
              <a16:creationId xmlns:a16="http://schemas.microsoft.com/office/drawing/2014/main" id="{B7F88970-095B-4B20-AC2F-7EAC5F8CFEA0}"/>
            </a:ext>
          </a:extLst>
        </xdr:cNvPr>
        <xdr:cNvPicPr>
          <a:picLocks noChangeAspect="1"/>
        </xdr:cNvPicPr>
      </xdr:nvPicPr>
      <xdr:blipFill>
        <a:blip xmlns:r="http://schemas.openxmlformats.org/officeDocument/2006/relationships" r:embed="rId1"/>
        <a:stretch>
          <a:fillRect/>
        </a:stretch>
      </xdr:blipFill>
      <xdr:spPr>
        <a:xfrm>
          <a:off x="1666874"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61FEC-1ED1-4E09-A945-0243644BAED1}">
  <dimension ref="A1:K153"/>
  <sheetViews>
    <sheetView tabSelected="1" topLeftCell="A138" workbookViewId="0">
      <selection activeCell="I147" sqref="I147"/>
    </sheetView>
  </sheetViews>
  <sheetFormatPr baseColWidth="10" defaultRowHeight="15" x14ac:dyDescent="0.25"/>
  <cols>
    <col min="2" max="2" width="12.140625" customWidth="1"/>
    <col min="3" max="3" width="19" bestFit="1" customWidth="1"/>
    <col min="4" max="4" width="19.5703125" bestFit="1" customWidth="1"/>
    <col min="5" max="5" width="15.140625" customWidth="1"/>
    <col min="6" max="6" width="26.42578125" bestFit="1" customWidth="1"/>
  </cols>
  <sheetData>
    <row r="1" spans="1:11" x14ac:dyDescent="0.25">
      <c r="B1" s="6"/>
      <c r="C1" s="6"/>
      <c r="D1" s="6"/>
      <c r="E1" s="6"/>
      <c r="F1" s="6"/>
      <c r="G1" s="6"/>
    </row>
    <row r="2" spans="1:11" x14ac:dyDescent="0.25">
      <c r="B2" s="6"/>
      <c r="C2" s="6"/>
      <c r="D2" s="6"/>
      <c r="E2" s="6"/>
      <c r="F2" s="6"/>
      <c r="G2" s="6"/>
    </row>
    <row r="3" spans="1:11" x14ac:dyDescent="0.25">
      <c r="B3" s="6"/>
      <c r="C3" s="6"/>
      <c r="D3" s="6"/>
      <c r="E3" s="6"/>
      <c r="F3" s="6"/>
      <c r="G3" s="6"/>
    </row>
    <row r="4" spans="1:11" x14ac:dyDescent="0.25">
      <c r="B4" s="6"/>
      <c r="C4" s="6"/>
      <c r="D4" s="6"/>
      <c r="E4" s="6"/>
      <c r="F4" s="6"/>
      <c r="G4" s="6"/>
    </row>
    <row r="5" spans="1:11" x14ac:dyDescent="0.25">
      <c r="A5" s="6"/>
      <c r="B5" s="40" t="s">
        <v>50</v>
      </c>
      <c r="C5" s="40"/>
      <c r="D5" s="40"/>
      <c r="E5" s="40"/>
      <c r="F5" s="40"/>
      <c r="G5" s="6"/>
    </row>
    <row r="6" spans="1:11" x14ac:dyDescent="0.25">
      <c r="B6" s="6"/>
      <c r="C6" s="6"/>
      <c r="D6" s="6"/>
      <c r="E6" s="6"/>
      <c r="F6" s="6"/>
      <c r="G6" s="6"/>
    </row>
    <row r="7" spans="1:11" x14ac:dyDescent="0.25">
      <c r="B7" s="44" t="s">
        <v>33</v>
      </c>
      <c r="C7" s="44"/>
      <c r="D7" s="44"/>
      <c r="E7" s="44"/>
      <c r="F7" s="44"/>
      <c r="H7" s="51" t="s">
        <v>48</v>
      </c>
      <c r="I7" s="51"/>
      <c r="J7" s="51"/>
      <c r="K7" s="51"/>
    </row>
    <row r="8" spans="1:11" x14ac:dyDescent="0.25">
      <c r="B8" s="26" t="s">
        <v>14</v>
      </c>
      <c r="C8" s="26" t="s">
        <v>29</v>
      </c>
      <c r="D8" s="26" t="s">
        <v>30</v>
      </c>
      <c r="E8" s="26" t="s">
        <v>31</v>
      </c>
      <c r="F8" s="26" t="s">
        <v>32</v>
      </c>
      <c r="H8" s="51"/>
      <c r="I8" s="51"/>
      <c r="J8" s="51"/>
      <c r="K8" s="51"/>
    </row>
    <row r="9" spans="1:11" x14ac:dyDescent="0.25">
      <c r="B9" s="26">
        <v>2004</v>
      </c>
      <c r="C9" s="27">
        <v>399600</v>
      </c>
      <c r="D9" s="27">
        <v>951223</v>
      </c>
      <c r="E9" s="28">
        <f>D9-C9</f>
        <v>551623</v>
      </c>
      <c r="F9" s="28">
        <f>E9/30</f>
        <v>18387.433333333334</v>
      </c>
      <c r="H9" s="51"/>
      <c r="I9" s="51"/>
      <c r="J9" s="51"/>
      <c r="K9" s="51"/>
    </row>
    <row r="10" spans="1:11" x14ac:dyDescent="0.25">
      <c r="B10" s="26">
        <v>2005</v>
      </c>
      <c r="C10" s="27">
        <v>426000</v>
      </c>
      <c r="D10" s="27">
        <v>1006585</v>
      </c>
      <c r="E10" s="28">
        <f t="shared" ref="E10:E21" si="0">D10-C10</f>
        <v>580585</v>
      </c>
      <c r="F10" s="28">
        <f>E10/30</f>
        <v>19352.833333333332</v>
      </c>
      <c r="H10" s="51"/>
      <c r="I10" s="51"/>
      <c r="J10" s="51"/>
      <c r="K10" s="51"/>
    </row>
    <row r="11" spans="1:11" x14ac:dyDescent="0.25">
      <c r="B11" s="26">
        <v>2006</v>
      </c>
      <c r="C11" s="27">
        <v>455700</v>
      </c>
      <c r="D11" s="27">
        <v>1057892</v>
      </c>
      <c r="E11" s="28">
        <f t="shared" si="0"/>
        <v>602192</v>
      </c>
      <c r="F11" s="28">
        <f t="shared" ref="F11:F21" si="1">E11/30</f>
        <v>20073.066666666666</v>
      </c>
      <c r="H11" s="51"/>
      <c r="I11" s="51"/>
      <c r="J11" s="51"/>
      <c r="K11" s="51"/>
    </row>
    <row r="12" spans="1:11" x14ac:dyDescent="0.25">
      <c r="B12" s="26">
        <v>2007</v>
      </c>
      <c r="C12" s="27">
        <v>484500</v>
      </c>
      <c r="D12" s="27">
        <v>1107508</v>
      </c>
      <c r="E12" s="28">
        <f t="shared" si="0"/>
        <v>623008</v>
      </c>
      <c r="F12" s="28">
        <f t="shared" si="1"/>
        <v>20766.933333333334</v>
      </c>
      <c r="H12" s="51"/>
      <c r="I12" s="51"/>
      <c r="J12" s="51"/>
      <c r="K12" s="51"/>
    </row>
    <row r="13" spans="1:11" x14ac:dyDescent="0.25">
      <c r="B13" s="26">
        <v>2008</v>
      </c>
      <c r="C13" s="29">
        <v>516500</v>
      </c>
      <c r="D13" s="27">
        <v>1174327</v>
      </c>
      <c r="E13" s="28">
        <f t="shared" si="0"/>
        <v>657827</v>
      </c>
      <c r="F13" s="28">
        <f t="shared" si="1"/>
        <v>21927.566666666666</v>
      </c>
      <c r="H13" s="51"/>
      <c r="I13" s="51"/>
      <c r="J13" s="51"/>
      <c r="K13" s="51"/>
    </row>
    <row r="14" spans="1:11" x14ac:dyDescent="0.25">
      <c r="B14" s="26">
        <v>2009</v>
      </c>
      <c r="C14" s="29">
        <v>556200</v>
      </c>
      <c r="D14" s="27">
        <v>1271880</v>
      </c>
      <c r="E14" s="28">
        <f t="shared" si="0"/>
        <v>715680</v>
      </c>
      <c r="F14" s="28">
        <f t="shared" si="1"/>
        <v>23856</v>
      </c>
      <c r="H14" s="51"/>
      <c r="I14" s="51"/>
      <c r="J14" s="51"/>
      <c r="K14" s="51"/>
    </row>
    <row r="15" spans="1:11" x14ac:dyDescent="0.25">
      <c r="B15" s="26">
        <v>2010</v>
      </c>
      <c r="C15" s="29">
        <v>576500</v>
      </c>
      <c r="D15" s="27">
        <v>1297836</v>
      </c>
      <c r="E15" s="28">
        <f t="shared" si="0"/>
        <v>721336</v>
      </c>
      <c r="F15" s="28">
        <f t="shared" si="1"/>
        <v>24044.533333333333</v>
      </c>
      <c r="H15" s="51"/>
      <c r="I15" s="51"/>
      <c r="J15" s="51"/>
      <c r="K15" s="51"/>
    </row>
    <row r="16" spans="1:11" x14ac:dyDescent="0.25">
      <c r="B16" s="26">
        <v>2011</v>
      </c>
      <c r="C16" s="29">
        <v>599200</v>
      </c>
      <c r="D16" s="27">
        <v>1340324</v>
      </c>
      <c r="E16" s="28">
        <f t="shared" si="0"/>
        <v>741124</v>
      </c>
      <c r="F16" s="28">
        <f t="shared" si="1"/>
        <v>24704.133333333335</v>
      </c>
      <c r="H16" s="51"/>
      <c r="I16" s="51"/>
      <c r="J16" s="51"/>
      <c r="K16" s="51"/>
    </row>
    <row r="17" spans="2:11" x14ac:dyDescent="0.25">
      <c r="B17" s="26">
        <v>2012</v>
      </c>
      <c r="C17" s="29">
        <v>634500</v>
      </c>
      <c r="D17" s="27">
        <v>1392833</v>
      </c>
      <c r="E17" s="28">
        <f t="shared" si="0"/>
        <v>758333</v>
      </c>
      <c r="F17" s="28">
        <f t="shared" si="1"/>
        <v>25277.766666666666</v>
      </c>
      <c r="H17" s="51"/>
      <c r="I17" s="51"/>
      <c r="J17" s="51"/>
      <c r="K17" s="51"/>
    </row>
    <row r="18" spans="2:11" x14ac:dyDescent="0.25">
      <c r="B18" s="26">
        <v>2013</v>
      </c>
      <c r="C18" s="29">
        <v>660000</v>
      </c>
      <c r="D18" s="27">
        <v>1427668</v>
      </c>
      <c r="E18" s="28">
        <f t="shared" si="0"/>
        <v>767668</v>
      </c>
      <c r="F18" s="28">
        <f t="shared" si="1"/>
        <v>25588.933333333334</v>
      </c>
    </row>
    <row r="19" spans="2:11" ht="21.75" customHeight="1" x14ac:dyDescent="0.25">
      <c r="B19" s="26">
        <v>2014</v>
      </c>
      <c r="C19" s="29">
        <v>688000</v>
      </c>
      <c r="D19" s="27">
        <v>1455912</v>
      </c>
      <c r="E19" s="28">
        <f t="shared" si="0"/>
        <v>767912</v>
      </c>
      <c r="F19" s="28">
        <f t="shared" si="1"/>
        <v>25597.066666666666</v>
      </c>
      <c r="H19" s="68" t="s">
        <v>49</v>
      </c>
      <c r="I19" s="68"/>
      <c r="J19" s="68"/>
      <c r="K19" s="68"/>
    </row>
    <row r="20" spans="2:11" x14ac:dyDescent="0.25">
      <c r="B20" s="26">
        <v>2015</v>
      </c>
      <c r="C20" s="29">
        <v>718350</v>
      </c>
      <c r="D20" s="27">
        <v>1524600</v>
      </c>
      <c r="E20" s="28">
        <f t="shared" si="0"/>
        <v>806250</v>
      </c>
      <c r="F20" s="28">
        <f t="shared" si="1"/>
        <v>26875</v>
      </c>
      <c r="H20" s="68"/>
      <c r="I20" s="68"/>
      <c r="J20" s="68"/>
      <c r="K20" s="68"/>
    </row>
    <row r="21" spans="2:11" x14ac:dyDescent="0.25">
      <c r="B21" s="26">
        <v>2016</v>
      </c>
      <c r="C21" s="29">
        <v>919079</v>
      </c>
      <c r="D21" s="27">
        <v>1600000</v>
      </c>
      <c r="E21" s="28">
        <f t="shared" si="0"/>
        <v>680921</v>
      </c>
      <c r="F21" s="28">
        <f t="shared" si="1"/>
        <v>22697.366666666665</v>
      </c>
    </row>
    <row r="23" spans="2:11" x14ac:dyDescent="0.25">
      <c r="B23" s="45" t="s">
        <v>34</v>
      </c>
      <c r="C23" s="45"/>
      <c r="D23" s="45"/>
      <c r="E23" s="45"/>
      <c r="F23" s="45"/>
    </row>
    <row r="24" spans="2:11" x14ac:dyDescent="0.25">
      <c r="B24" s="26" t="s">
        <v>14</v>
      </c>
      <c r="C24" s="31" t="s">
        <v>35</v>
      </c>
      <c r="D24" s="31" t="s">
        <v>36</v>
      </c>
      <c r="E24" s="31" t="s">
        <v>37</v>
      </c>
      <c r="F24" s="31" t="s">
        <v>38</v>
      </c>
    </row>
    <row r="25" spans="2:11" x14ac:dyDescent="0.25">
      <c r="B25" s="26">
        <v>2004</v>
      </c>
      <c r="C25" s="32">
        <v>37991</v>
      </c>
      <c r="D25" s="32">
        <v>38352</v>
      </c>
      <c r="E25" s="30">
        <f t="shared" ref="E25:E37" si="2">DAYS360(C25,D25)+1</f>
        <v>357</v>
      </c>
      <c r="F25" s="28">
        <f t="shared" ref="F25:F30" si="3">F9*E25</f>
        <v>6564313.7000000002</v>
      </c>
    </row>
    <row r="26" spans="2:11" x14ac:dyDescent="0.25">
      <c r="B26" s="26">
        <v>2005</v>
      </c>
      <c r="C26" s="32">
        <v>38353</v>
      </c>
      <c r="D26" s="32">
        <v>38717</v>
      </c>
      <c r="E26" s="30">
        <f>DAYS360(C26,D26)</f>
        <v>360</v>
      </c>
      <c r="F26" s="28">
        <f t="shared" si="3"/>
        <v>6967020</v>
      </c>
    </row>
    <row r="27" spans="2:11" x14ac:dyDescent="0.25">
      <c r="B27" s="26">
        <v>2006</v>
      </c>
      <c r="C27" s="32">
        <v>38718</v>
      </c>
      <c r="D27" s="32">
        <v>39082</v>
      </c>
      <c r="E27" s="30">
        <f t="shared" ref="E27:E36" si="4">DAYS360(C27,D27)</f>
        <v>360</v>
      </c>
      <c r="F27" s="28">
        <f t="shared" si="3"/>
        <v>7226304</v>
      </c>
    </row>
    <row r="28" spans="2:11" x14ac:dyDescent="0.25">
      <c r="B28" s="26">
        <v>2007</v>
      </c>
      <c r="C28" s="32">
        <v>39083</v>
      </c>
      <c r="D28" s="32">
        <v>39447</v>
      </c>
      <c r="E28" s="30">
        <f t="shared" si="4"/>
        <v>360</v>
      </c>
      <c r="F28" s="28">
        <f t="shared" si="3"/>
        <v>7476096</v>
      </c>
    </row>
    <row r="29" spans="2:11" x14ac:dyDescent="0.25">
      <c r="B29" s="26">
        <v>2008</v>
      </c>
      <c r="C29" s="32">
        <v>39448</v>
      </c>
      <c r="D29" s="32">
        <v>39813</v>
      </c>
      <c r="E29" s="30">
        <f t="shared" si="4"/>
        <v>360</v>
      </c>
      <c r="F29" s="28">
        <f t="shared" si="3"/>
        <v>7893924</v>
      </c>
    </row>
    <row r="30" spans="2:11" x14ac:dyDescent="0.25">
      <c r="B30" s="26">
        <v>2009</v>
      </c>
      <c r="C30" s="32">
        <v>39814</v>
      </c>
      <c r="D30" s="32">
        <v>40178</v>
      </c>
      <c r="E30" s="30">
        <f t="shared" si="4"/>
        <v>360</v>
      </c>
      <c r="F30" s="28">
        <f t="shared" si="3"/>
        <v>8588160</v>
      </c>
    </row>
    <row r="31" spans="2:11" x14ac:dyDescent="0.25">
      <c r="B31" s="26">
        <v>2010</v>
      </c>
      <c r="C31" s="32">
        <v>40179</v>
      </c>
      <c r="D31" s="32">
        <v>40543</v>
      </c>
      <c r="E31" s="30">
        <f t="shared" si="4"/>
        <v>360</v>
      </c>
      <c r="F31" s="28">
        <f t="shared" ref="F31:F37" si="5">F15*E31</f>
        <v>8656032</v>
      </c>
    </row>
    <row r="32" spans="2:11" x14ac:dyDescent="0.25">
      <c r="B32" s="26">
        <v>2011</v>
      </c>
      <c r="C32" s="32">
        <v>40544</v>
      </c>
      <c r="D32" s="32">
        <v>40908</v>
      </c>
      <c r="E32" s="30">
        <f t="shared" si="4"/>
        <v>360</v>
      </c>
      <c r="F32" s="28">
        <f t="shared" si="5"/>
        <v>8893488</v>
      </c>
    </row>
    <row r="33" spans="2:6" x14ac:dyDescent="0.25">
      <c r="B33" s="26">
        <v>2012</v>
      </c>
      <c r="C33" s="32">
        <v>40909</v>
      </c>
      <c r="D33" s="32">
        <v>41274</v>
      </c>
      <c r="E33" s="30">
        <f t="shared" si="4"/>
        <v>360</v>
      </c>
      <c r="F33" s="28">
        <f t="shared" si="5"/>
        <v>9099996</v>
      </c>
    </row>
    <row r="34" spans="2:6" x14ac:dyDescent="0.25">
      <c r="B34" s="26">
        <v>2013</v>
      </c>
      <c r="C34" s="32">
        <v>41275</v>
      </c>
      <c r="D34" s="32">
        <v>41639</v>
      </c>
      <c r="E34" s="30">
        <f t="shared" si="4"/>
        <v>360</v>
      </c>
      <c r="F34" s="28">
        <f t="shared" si="5"/>
        <v>9212016</v>
      </c>
    </row>
    <row r="35" spans="2:6" x14ac:dyDescent="0.25">
      <c r="B35" s="26">
        <v>2014</v>
      </c>
      <c r="C35" s="32">
        <v>41640</v>
      </c>
      <c r="D35" s="32">
        <v>42004</v>
      </c>
      <c r="E35" s="30">
        <f t="shared" si="4"/>
        <v>360</v>
      </c>
      <c r="F35" s="28">
        <f t="shared" si="5"/>
        <v>9214944</v>
      </c>
    </row>
    <row r="36" spans="2:6" x14ac:dyDescent="0.25">
      <c r="B36" s="26">
        <v>2015</v>
      </c>
      <c r="C36" s="32">
        <v>42005</v>
      </c>
      <c r="D36" s="32">
        <v>42369</v>
      </c>
      <c r="E36" s="30">
        <f t="shared" si="4"/>
        <v>360</v>
      </c>
      <c r="F36" s="28">
        <f t="shared" si="5"/>
        <v>9675000</v>
      </c>
    </row>
    <row r="37" spans="2:6" x14ac:dyDescent="0.25">
      <c r="B37" s="26">
        <v>2016</v>
      </c>
      <c r="C37" s="32">
        <v>42370</v>
      </c>
      <c r="D37" s="32">
        <v>42620</v>
      </c>
      <c r="E37" s="30">
        <f t="shared" si="2"/>
        <v>247</v>
      </c>
      <c r="F37" s="28">
        <f t="shared" si="5"/>
        <v>5606249.5666666664</v>
      </c>
    </row>
    <row r="38" spans="2:6" x14ac:dyDescent="0.25">
      <c r="B38" s="46" t="s">
        <v>39</v>
      </c>
      <c r="C38" s="46"/>
      <c r="D38" s="46"/>
      <c r="E38" s="46"/>
      <c r="F38" s="36">
        <f>SUM(F25:F37)</f>
        <v>105073543.26666667</v>
      </c>
    </row>
    <row r="40" spans="2:6" x14ac:dyDescent="0.25">
      <c r="B40" s="1" t="s">
        <v>0</v>
      </c>
      <c r="C40" s="1" t="s">
        <v>1</v>
      </c>
      <c r="D40" s="1" t="s">
        <v>2</v>
      </c>
      <c r="E40" s="1" t="s">
        <v>3</v>
      </c>
      <c r="F40" s="2" t="s">
        <v>5</v>
      </c>
    </row>
    <row r="41" spans="2:6" x14ac:dyDescent="0.25">
      <c r="B41" s="12">
        <v>37991</v>
      </c>
      <c r="C41" s="12">
        <v>38352</v>
      </c>
      <c r="D41" s="11">
        <f t="shared" ref="D41:D53" si="6">F25</f>
        <v>6564313.7000000002</v>
      </c>
      <c r="E41" s="3">
        <f t="shared" ref="E41:E53" si="7">DAYS360(B41,C41)+1</f>
        <v>357</v>
      </c>
      <c r="F41" s="4">
        <f>(D41*E41)/360</f>
        <v>6509611.0858333334</v>
      </c>
    </row>
    <row r="42" spans="2:6" x14ac:dyDescent="0.25">
      <c r="B42" s="12">
        <v>38353</v>
      </c>
      <c r="C42" s="12">
        <v>38717</v>
      </c>
      <c r="D42" s="11">
        <f t="shared" si="6"/>
        <v>6967020</v>
      </c>
      <c r="E42" s="3">
        <f>DAYS360(B42,C42)</f>
        <v>360</v>
      </c>
      <c r="F42" s="4">
        <f>(D42*E42)/360</f>
        <v>6967020</v>
      </c>
    </row>
    <row r="43" spans="2:6" x14ac:dyDescent="0.25">
      <c r="B43" s="12">
        <v>38718</v>
      </c>
      <c r="C43" s="12">
        <v>39082</v>
      </c>
      <c r="D43" s="11">
        <f t="shared" si="6"/>
        <v>7226304</v>
      </c>
      <c r="E43" s="3">
        <f t="shared" ref="E43:E52" si="8">DAYS360(B43,C43)</f>
        <v>360</v>
      </c>
      <c r="F43" s="4">
        <f>(D43*E43)/360</f>
        <v>7226304</v>
      </c>
    </row>
    <row r="44" spans="2:6" x14ac:dyDescent="0.25">
      <c r="B44" s="12">
        <v>39083</v>
      </c>
      <c r="C44" s="12">
        <v>39447</v>
      </c>
      <c r="D44" s="11">
        <f t="shared" si="6"/>
        <v>7476096</v>
      </c>
      <c r="E44" s="3">
        <f t="shared" si="8"/>
        <v>360</v>
      </c>
      <c r="F44" s="4">
        <f t="shared" ref="F44:F45" si="9">(D44*E44)/360</f>
        <v>7476096</v>
      </c>
    </row>
    <row r="45" spans="2:6" x14ac:dyDescent="0.25">
      <c r="B45" s="12">
        <v>39448</v>
      </c>
      <c r="C45" s="12">
        <v>39813</v>
      </c>
      <c r="D45" s="11">
        <f t="shared" si="6"/>
        <v>7893924</v>
      </c>
      <c r="E45" s="3">
        <f t="shared" si="8"/>
        <v>360</v>
      </c>
      <c r="F45" s="4">
        <f t="shared" si="9"/>
        <v>7893924</v>
      </c>
    </row>
    <row r="46" spans="2:6" x14ac:dyDescent="0.25">
      <c r="B46" s="12">
        <v>39814</v>
      </c>
      <c r="C46" s="12">
        <v>40178</v>
      </c>
      <c r="D46" s="11">
        <f t="shared" si="6"/>
        <v>8588160</v>
      </c>
      <c r="E46" s="3">
        <f t="shared" si="8"/>
        <v>360</v>
      </c>
      <c r="F46" s="4">
        <f>(D46*E46)/360</f>
        <v>8588160</v>
      </c>
    </row>
    <row r="47" spans="2:6" x14ac:dyDescent="0.25">
      <c r="B47" s="12">
        <v>40179</v>
      </c>
      <c r="C47" s="12">
        <v>40543</v>
      </c>
      <c r="D47" s="11">
        <f t="shared" si="6"/>
        <v>8656032</v>
      </c>
      <c r="E47" s="3">
        <f t="shared" si="8"/>
        <v>360</v>
      </c>
      <c r="F47" s="4">
        <f>(D47*E47)/360</f>
        <v>8656032</v>
      </c>
    </row>
    <row r="48" spans="2:6" x14ac:dyDescent="0.25">
      <c r="B48" s="12">
        <v>40544</v>
      </c>
      <c r="C48" s="12">
        <v>40908</v>
      </c>
      <c r="D48" s="11">
        <f t="shared" si="6"/>
        <v>8893488</v>
      </c>
      <c r="E48" s="3">
        <f t="shared" si="8"/>
        <v>360</v>
      </c>
      <c r="F48" s="4">
        <f>(D48*E48)/360</f>
        <v>8893488</v>
      </c>
    </row>
    <row r="49" spans="2:6" x14ac:dyDescent="0.25">
      <c r="B49" s="12">
        <v>40909</v>
      </c>
      <c r="C49" s="12">
        <v>41274</v>
      </c>
      <c r="D49" s="11">
        <f t="shared" si="6"/>
        <v>9099996</v>
      </c>
      <c r="E49" s="3">
        <f t="shared" si="8"/>
        <v>360</v>
      </c>
      <c r="F49" s="4">
        <f>(D49*E49)/360</f>
        <v>9099996</v>
      </c>
    </row>
    <row r="50" spans="2:6" x14ac:dyDescent="0.25">
      <c r="B50" s="12">
        <v>41275</v>
      </c>
      <c r="C50" s="12">
        <v>41639</v>
      </c>
      <c r="D50" s="11">
        <f t="shared" si="6"/>
        <v>9212016</v>
      </c>
      <c r="E50" s="3">
        <f t="shared" si="8"/>
        <v>360</v>
      </c>
      <c r="F50" s="4">
        <f>(D50*E50)/360</f>
        <v>9212016</v>
      </c>
    </row>
    <row r="51" spans="2:6" x14ac:dyDescent="0.25">
      <c r="B51" s="12">
        <v>41640</v>
      </c>
      <c r="C51" s="12">
        <v>42004</v>
      </c>
      <c r="D51" s="11">
        <f t="shared" si="6"/>
        <v>9214944</v>
      </c>
      <c r="E51" s="3">
        <f t="shared" si="8"/>
        <v>360</v>
      </c>
      <c r="F51" s="4">
        <f t="shared" ref="F51:F52" si="10">(D51*E51)/360</f>
        <v>9214944</v>
      </c>
    </row>
    <row r="52" spans="2:6" x14ac:dyDescent="0.25">
      <c r="B52" s="12">
        <v>42005</v>
      </c>
      <c r="C52" s="12">
        <v>42369</v>
      </c>
      <c r="D52" s="11">
        <f t="shared" si="6"/>
        <v>9675000</v>
      </c>
      <c r="E52" s="3">
        <f t="shared" si="8"/>
        <v>360</v>
      </c>
      <c r="F52" s="4">
        <f t="shared" si="10"/>
        <v>9675000</v>
      </c>
    </row>
    <row r="53" spans="2:6" x14ac:dyDescent="0.25">
      <c r="B53" s="12">
        <v>42370</v>
      </c>
      <c r="C53" s="12">
        <v>42620</v>
      </c>
      <c r="D53" s="11">
        <f t="shared" si="6"/>
        <v>5606249.5666666664</v>
      </c>
      <c r="E53" s="3">
        <f t="shared" si="7"/>
        <v>247</v>
      </c>
      <c r="F53" s="4">
        <f>(D53*E53)/360</f>
        <v>3846510.1193518518</v>
      </c>
    </row>
    <row r="54" spans="2:6" x14ac:dyDescent="0.25">
      <c r="B54" s="39" t="s">
        <v>4</v>
      </c>
      <c r="C54" s="39"/>
      <c r="D54" s="39"/>
      <c r="E54" s="39"/>
      <c r="F54" s="5">
        <f>SUM(F41:F53)</f>
        <v>103259101.20518519</v>
      </c>
    </row>
    <row r="57" spans="2:6" x14ac:dyDescent="0.25">
      <c r="B57" s="1" t="s">
        <v>0</v>
      </c>
      <c r="C57" s="1" t="s">
        <v>1</v>
      </c>
      <c r="D57" s="1" t="s">
        <v>2</v>
      </c>
      <c r="E57" s="1" t="s">
        <v>3</v>
      </c>
      <c r="F57" s="2" t="s">
        <v>6</v>
      </c>
    </row>
    <row r="58" spans="2:6" x14ac:dyDescent="0.25">
      <c r="B58" s="12">
        <v>37991</v>
      </c>
      <c r="C58" s="12">
        <v>38352</v>
      </c>
      <c r="D58" s="34">
        <f t="shared" ref="D58:D70" si="11">F25</f>
        <v>6564313.7000000002</v>
      </c>
      <c r="E58" s="35">
        <f>DAYS360(B58,C58)+1</f>
        <v>357</v>
      </c>
      <c r="F58" s="33">
        <f>(D58*E58)/360</f>
        <v>6509611.0858333334</v>
      </c>
    </row>
    <row r="59" spans="2:6" x14ac:dyDescent="0.25">
      <c r="B59" s="12">
        <v>38353</v>
      </c>
      <c r="C59" s="12">
        <v>38717</v>
      </c>
      <c r="D59" s="34">
        <f t="shared" si="11"/>
        <v>6967020</v>
      </c>
      <c r="E59" s="3">
        <f t="shared" ref="E59:E69" si="12">DAYS360(B59,C59)</f>
        <v>360</v>
      </c>
      <c r="F59" s="33">
        <f>(D59*E59)/360</f>
        <v>6967020</v>
      </c>
    </row>
    <row r="60" spans="2:6" x14ac:dyDescent="0.25">
      <c r="B60" s="12">
        <v>38718</v>
      </c>
      <c r="C60" s="12">
        <v>39082</v>
      </c>
      <c r="D60" s="34">
        <f t="shared" si="11"/>
        <v>7226304</v>
      </c>
      <c r="E60" s="3">
        <f t="shared" si="12"/>
        <v>360</v>
      </c>
      <c r="F60" s="33">
        <f>(D60*E60)/360</f>
        <v>7226304</v>
      </c>
    </row>
    <row r="61" spans="2:6" x14ac:dyDescent="0.25">
      <c r="B61" s="12">
        <v>39083</v>
      </c>
      <c r="C61" s="12">
        <v>39447</v>
      </c>
      <c r="D61" s="34">
        <f t="shared" si="11"/>
        <v>7476096</v>
      </c>
      <c r="E61" s="3">
        <f t="shared" si="12"/>
        <v>360</v>
      </c>
      <c r="F61" s="33">
        <f t="shared" ref="F61:F62" si="13">(D61*E61)/360</f>
        <v>7476096</v>
      </c>
    </row>
    <row r="62" spans="2:6" x14ac:dyDescent="0.25">
      <c r="B62" s="12">
        <v>39448</v>
      </c>
      <c r="C62" s="12">
        <v>39813</v>
      </c>
      <c r="D62" s="34">
        <f t="shared" si="11"/>
        <v>7893924</v>
      </c>
      <c r="E62" s="3">
        <f t="shared" si="12"/>
        <v>360</v>
      </c>
      <c r="F62" s="33">
        <f t="shared" si="13"/>
        <v>7893924</v>
      </c>
    </row>
    <row r="63" spans="2:6" x14ac:dyDescent="0.25">
      <c r="B63" s="12">
        <v>39814</v>
      </c>
      <c r="C63" s="12">
        <v>40178</v>
      </c>
      <c r="D63" s="34">
        <f t="shared" si="11"/>
        <v>8588160</v>
      </c>
      <c r="E63" s="3">
        <f t="shared" si="12"/>
        <v>360</v>
      </c>
      <c r="F63" s="33">
        <f>(D63*E63)/360</f>
        <v>8588160</v>
      </c>
    </row>
    <row r="64" spans="2:6" x14ac:dyDescent="0.25">
      <c r="B64" s="12">
        <v>40179</v>
      </c>
      <c r="C64" s="12">
        <v>40543</v>
      </c>
      <c r="D64" s="34">
        <f t="shared" si="11"/>
        <v>8656032</v>
      </c>
      <c r="E64" s="3">
        <f t="shared" si="12"/>
        <v>360</v>
      </c>
      <c r="F64" s="33">
        <f>(D64*E64)/360</f>
        <v>8656032</v>
      </c>
    </row>
    <row r="65" spans="2:6" x14ac:dyDescent="0.25">
      <c r="B65" s="12">
        <v>40544</v>
      </c>
      <c r="C65" s="12">
        <v>40908</v>
      </c>
      <c r="D65" s="34">
        <f t="shared" si="11"/>
        <v>8893488</v>
      </c>
      <c r="E65" s="3">
        <f t="shared" si="12"/>
        <v>360</v>
      </c>
      <c r="F65" s="33">
        <f t="shared" ref="F65:F70" si="14">(D65*E65)/360</f>
        <v>8893488</v>
      </c>
    </row>
    <row r="66" spans="2:6" x14ac:dyDescent="0.25">
      <c r="B66" s="12">
        <v>40909</v>
      </c>
      <c r="C66" s="12">
        <v>41274</v>
      </c>
      <c r="D66" s="34">
        <f t="shared" si="11"/>
        <v>9099996</v>
      </c>
      <c r="E66" s="3">
        <f t="shared" si="12"/>
        <v>360</v>
      </c>
      <c r="F66" s="33">
        <f t="shared" si="14"/>
        <v>9099996</v>
      </c>
    </row>
    <row r="67" spans="2:6" x14ac:dyDescent="0.25">
      <c r="B67" s="12">
        <v>41275</v>
      </c>
      <c r="C67" s="12">
        <v>41639</v>
      </c>
      <c r="D67" s="34">
        <f t="shared" si="11"/>
        <v>9212016</v>
      </c>
      <c r="E67" s="3">
        <f t="shared" si="12"/>
        <v>360</v>
      </c>
      <c r="F67" s="33">
        <f t="shared" si="14"/>
        <v>9212016</v>
      </c>
    </row>
    <row r="68" spans="2:6" x14ac:dyDescent="0.25">
      <c r="B68" s="12">
        <v>41640</v>
      </c>
      <c r="C68" s="12">
        <v>42004</v>
      </c>
      <c r="D68" s="34">
        <f t="shared" si="11"/>
        <v>9214944</v>
      </c>
      <c r="E68" s="3">
        <f t="shared" si="12"/>
        <v>360</v>
      </c>
      <c r="F68" s="33">
        <f t="shared" si="14"/>
        <v>9214944</v>
      </c>
    </row>
    <row r="69" spans="2:6" x14ac:dyDescent="0.25">
      <c r="B69" s="12">
        <v>42005</v>
      </c>
      <c r="C69" s="12">
        <v>42369</v>
      </c>
      <c r="D69" s="34">
        <f t="shared" si="11"/>
        <v>9675000</v>
      </c>
      <c r="E69" s="3">
        <f t="shared" si="12"/>
        <v>360</v>
      </c>
      <c r="F69" s="33">
        <f t="shared" si="14"/>
        <v>9675000</v>
      </c>
    </row>
    <row r="70" spans="2:6" x14ac:dyDescent="0.25">
      <c r="B70" s="12">
        <v>42370</v>
      </c>
      <c r="C70" s="12">
        <v>42620</v>
      </c>
      <c r="D70" s="34">
        <f t="shared" si="11"/>
        <v>5606249.5666666664</v>
      </c>
      <c r="E70" s="35">
        <f t="shared" ref="E70" si="15">DAYS360(B70,C70)+1</f>
        <v>247</v>
      </c>
      <c r="F70" s="33">
        <f t="shared" si="14"/>
        <v>3846510.1193518518</v>
      </c>
    </row>
    <row r="71" spans="2:6" x14ac:dyDescent="0.25">
      <c r="B71" s="39" t="s">
        <v>4</v>
      </c>
      <c r="C71" s="39"/>
      <c r="D71" s="39"/>
      <c r="E71" s="39"/>
      <c r="F71" s="5">
        <f>SUM(F58:F70)</f>
        <v>103259101.20518519</v>
      </c>
    </row>
    <row r="74" spans="2:6" x14ac:dyDescent="0.25">
      <c r="B74" s="1" t="s">
        <v>0</v>
      </c>
      <c r="C74" s="1" t="s">
        <v>1</v>
      </c>
      <c r="D74" s="1" t="s">
        <v>6</v>
      </c>
      <c r="E74" s="1" t="s">
        <v>3</v>
      </c>
      <c r="F74" s="2" t="s">
        <v>7</v>
      </c>
    </row>
    <row r="75" spans="2:6" x14ac:dyDescent="0.25">
      <c r="B75" s="12">
        <v>37991</v>
      </c>
      <c r="C75" s="12">
        <v>38352</v>
      </c>
      <c r="D75" s="33">
        <f t="shared" ref="D75:D87" si="16">F58</f>
        <v>6509611.0858333334</v>
      </c>
      <c r="E75" s="3">
        <f>DAYS360(B75,C75)+1</f>
        <v>357</v>
      </c>
      <c r="F75" s="3">
        <f>(D75*E75*0.12)/360</f>
        <v>774643.71921416651</v>
      </c>
    </row>
    <row r="76" spans="2:6" x14ac:dyDescent="0.25">
      <c r="B76" s="12">
        <v>38353</v>
      </c>
      <c r="C76" s="12">
        <v>38717</v>
      </c>
      <c r="D76" s="33">
        <f t="shared" si="16"/>
        <v>6967020</v>
      </c>
      <c r="E76" s="3">
        <f>DAYS360(B76,C76)+1</f>
        <v>361</v>
      </c>
      <c r="F76" s="3">
        <f>(D76*E76*0.12)/360</f>
        <v>838364.74</v>
      </c>
    </row>
    <row r="77" spans="2:6" x14ac:dyDescent="0.25">
      <c r="B77" s="12">
        <v>38718</v>
      </c>
      <c r="C77" s="12">
        <v>39082</v>
      </c>
      <c r="D77" s="33">
        <f t="shared" si="16"/>
        <v>7226304</v>
      </c>
      <c r="E77" s="3">
        <f>DAYS360(B77,C77)+1</f>
        <v>361</v>
      </c>
      <c r="F77" s="3">
        <f>(D77*E77*0.12)/360</f>
        <v>869565.24799999991</v>
      </c>
    </row>
    <row r="78" spans="2:6" x14ac:dyDescent="0.25">
      <c r="B78" s="12">
        <v>39083</v>
      </c>
      <c r="C78" s="12">
        <v>39447</v>
      </c>
      <c r="D78" s="33">
        <f t="shared" si="16"/>
        <v>7476096</v>
      </c>
      <c r="E78" s="3">
        <f t="shared" ref="E78:E79" si="17">DAYS360(B78,C78)+1</f>
        <v>361</v>
      </c>
      <c r="F78" s="3">
        <f t="shared" ref="F78:F79" si="18">(D78*E78*0.12)/360</f>
        <v>899623.55199999991</v>
      </c>
    </row>
    <row r="79" spans="2:6" x14ac:dyDescent="0.25">
      <c r="B79" s="12">
        <v>39448</v>
      </c>
      <c r="C79" s="12">
        <v>39813</v>
      </c>
      <c r="D79" s="33">
        <f t="shared" si="16"/>
        <v>7893924</v>
      </c>
      <c r="E79" s="3">
        <f t="shared" si="17"/>
        <v>361</v>
      </c>
      <c r="F79" s="3">
        <f t="shared" si="18"/>
        <v>949902.18799999997</v>
      </c>
    </row>
    <row r="80" spans="2:6" x14ac:dyDescent="0.25">
      <c r="B80" s="12">
        <v>39814</v>
      </c>
      <c r="C80" s="12">
        <v>40178</v>
      </c>
      <c r="D80" s="33">
        <f t="shared" si="16"/>
        <v>8588160</v>
      </c>
      <c r="E80" s="3">
        <f>DAYS360(B80,C80)+1</f>
        <v>361</v>
      </c>
      <c r="F80" s="3">
        <f>(D80*E80*0.12)/360</f>
        <v>1033441.9199999999</v>
      </c>
    </row>
    <row r="81" spans="2:9" x14ac:dyDescent="0.25">
      <c r="B81" s="12">
        <v>40179</v>
      </c>
      <c r="C81" s="12">
        <v>40543</v>
      </c>
      <c r="D81" s="33">
        <f t="shared" si="16"/>
        <v>8656032</v>
      </c>
      <c r="E81" s="3">
        <f>DAYS360(B81,C81)+1</f>
        <v>361</v>
      </c>
      <c r="F81" s="3">
        <f>(D81*E81*0.12)/360</f>
        <v>1041609.184</v>
      </c>
    </row>
    <row r="82" spans="2:9" x14ac:dyDescent="0.25">
      <c r="B82" s="12">
        <v>40544</v>
      </c>
      <c r="C82" s="12">
        <v>40908</v>
      </c>
      <c r="D82" s="33">
        <f t="shared" si="16"/>
        <v>8893488</v>
      </c>
      <c r="E82" s="3">
        <f t="shared" ref="E82:E87" si="19">DAYS360(B82,C82)+1</f>
        <v>361</v>
      </c>
      <c r="F82" s="3">
        <f t="shared" ref="F82:F87" si="20">(D82*E82*0.12)/360</f>
        <v>1070183.0559999999</v>
      </c>
    </row>
    <row r="83" spans="2:9" x14ac:dyDescent="0.25">
      <c r="B83" s="12">
        <v>40909</v>
      </c>
      <c r="C83" s="12">
        <v>41274</v>
      </c>
      <c r="D83" s="33">
        <f t="shared" si="16"/>
        <v>9099996</v>
      </c>
      <c r="E83" s="3">
        <f t="shared" si="19"/>
        <v>361</v>
      </c>
      <c r="F83" s="3">
        <f t="shared" si="20"/>
        <v>1095032.852</v>
      </c>
    </row>
    <row r="84" spans="2:9" x14ac:dyDescent="0.25">
      <c r="B84" s="12">
        <v>41275</v>
      </c>
      <c r="C84" s="12">
        <v>41639</v>
      </c>
      <c r="D84" s="33">
        <f t="shared" si="16"/>
        <v>9212016</v>
      </c>
      <c r="E84" s="3">
        <f t="shared" si="19"/>
        <v>361</v>
      </c>
      <c r="F84" s="3">
        <f t="shared" si="20"/>
        <v>1108512.5919999999</v>
      </c>
    </row>
    <row r="85" spans="2:9" x14ac:dyDescent="0.25">
      <c r="B85" s="12">
        <v>41640</v>
      </c>
      <c r="C85" s="12">
        <v>42004</v>
      </c>
      <c r="D85" s="33">
        <f t="shared" si="16"/>
        <v>9214944</v>
      </c>
      <c r="E85" s="3">
        <f t="shared" si="19"/>
        <v>361</v>
      </c>
      <c r="F85" s="3">
        <f t="shared" si="20"/>
        <v>1108864.9279999998</v>
      </c>
    </row>
    <row r="86" spans="2:9" x14ac:dyDescent="0.25">
      <c r="B86" s="12">
        <v>42005</v>
      </c>
      <c r="C86" s="12">
        <v>42369</v>
      </c>
      <c r="D86" s="33">
        <f t="shared" si="16"/>
        <v>9675000</v>
      </c>
      <c r="E86" s="3">
        <f t="shared" si="19"/>
        <v>361</v>
      </c>
      <c r="F86" s="3">
        <f t="shared" si="20"/>
        <v>1164225</v>
      </c>
    </row>
    <row r="87" spans="2:9" x14ac:dyDescent="0.25">
      <c r="B87" s="12">
        <v>42370</v>
      </c>
      <c r="C87" s="12">
        <v>42620</v>
      </c>
      <c r="D87" s="33">
        <f t="shared" si="16"/>
        <v>3846510.1193518518</v>
      </c>
      <c r="E87" s="3">
        <f t="shared" si="19"/>
        <v>247</v>
      </c>
      <c r="F87" s="3">
        <f t="shared" si="20"/>
        <v>316695.99982663582</v>
      </c>
    </row>
    <row r="88" spans="2:9" x14ac:dyDescent="0.25">
      <c r="B88" s="39" t="s">
        <v>4</v>
      </c>
      <c r="C88" s="39"/>
      <c r="D88" s="39"/>
      <c r="E88" s="39"/>
      <c r="F88" s="5">
        <f>SUM(F75:F87)</f>
        <v>12270664.979040802</v>
      </c>
    </row>
    <row r="90" spans="2:9" x14ac:dyDescent="0.25">
      <c r="B90" s="1" t="s">
        <v>0</v>
      </c>
      <c r="C90" s="1" t="s">
        <v>1</v>
      </c>
      <c r="D90" s="1" t="s">
        <v>2</v>
      </c>
      <c r="E90" s="1" t="s">
        <v>3</v>
      </c>
      <c r="F90" s="2" t="s">
        <v>8</v>
      </c>
    </row>
    <row r="91" spans="2:9" x14ac:dyDescent="0.25">
      <c r="B91" s="12">
        <v>37991</v>
      </c>
      <c r="C91" s="12">
        <v>42620</v>
      </c>
      <c r="D91" s="27">
        <v>1600000</v>
      </c>
      <c r="E91" s="3">
        <f>DAYS360(B91,C91)+1</f>
        <v>4563</v>
      </c>
      <c r="F91" s="3">
        <f>(D91*E91)/720</f>
        <v>10140000</v>
      </c>
    </row>
    <row r="92" spans="2:9" x14ac:dyDescent="0.25">
      <c r="B92" s="39" t="s">
        <v>4</v>
      </c>
      <c r="C92" s="39"/>
      <c r="D92" s="39"/>
      <c r="E92" s="39"/>
      <c r="F92" s="5">
        <f>SUM(F91:F91)</f>
        <v>10140000</v>
      </c>
    </row>
    <row r="95" spans="2:9" x14ac:dyDescent="0.25">
      <c r="B95" s="45" t="s">
        <v>13</v>
      </c>
      <c r="C95" s="45"/>
      <c r="D95" s="45"/>
      <c r="E95" s="45"/>
      <c r="F95" s="45"/>
      <c r="G95" s="45"/>
      <c r="H95" s="45"/>
      <c r="I95" s="45"/>
    </row>
    <row r="96" spans="2:9" x14ac:dyDescent="0.25">
      <c r="B96" s="62"/>
      <c r="C96" s="62"/>
      <c r="D96" s="62"/>
      <c r="E96" s="13" t="s">
        <v>14</v>
      </c>
      <c r="F96" s="13" t="s">
        <v>15</v>
      </c>
      <c r="G96" s="13" t="s">
        <v>16</v>
      </c>
      <c r="H96" s="63" t="s">
        <v>17</v>
      </c>
      <c r="I96" s="63"/>
    </row>
    <row r="97" spans="2:9" x14ac:dyDescent="0.25">
      <c r="B97" s="47" t="s">
        <v>51</v>
      </c>
      <c r="C97" s="47"/>
      <c r="D97" s="47"/>
      <c r="E97" s="14">
        <v>2016</v>
      </c>
      <c r="F97" s="14">
        <v>9</v>
      </c>
      <c r="G97" s="15">
        <v>7</v>
      </c>
      <c r="H97" s="16" t="s">
        <v>18</v>
      </c>
      <c r="I97" s="17" t="s">
        <v>19</v>
      </c>
    </row>
    <row r="98" spans="2:9" x14ac:dyDescent="0.25">
      <c r="B98" s="47" t="s">
        <v>20</v>
      </c>
      <c r="C98" s="47"/>
      <c r="D98" s="47"/>
      <c r="E98" s="18">
        <v>2004</v>
      </c>
      <c r="F98" s="18">
        <v>1</v>
      </c>
      <c r="G98" s="19">
        <v>5</v>
      </c>
      <c r="H98" s="20">
        <f>(E97-E98)*360+(F97-F98)*30+(G97-G98+1)</f>
        <v>4563</v>
      </c>
      <c r="I98" s="21">
        <f>H98/360</f>
        <v>12.675000000000001</v>
      </c>
    </row>
    <row r="99" spans="2:9" x14ac:dyDescent="0.25">
      <c r="B99" s="47" t="s">
        <v>21</v>
      </c>
      <c r="C99" s="47"/>
      <c r="D99" s="47"/>
      <c r="E99" s="61">
        <v>1600000</v>
      </c>
      <c r="F99" s="61"/>
      <c r="G99" s="61"/>
      <c r="H99" s="61"/>
      <c r="I99" s="61"/>
    </row>
    <row r="100" spans="2:9" x14ac:dyDescent="0.25">
      <c r="B100" s="47" t="s">
        <v>22</v>
      </c>
      <c r="C100" s="47"/>
      <c r="D100" s="47"/>
      <c r="E100" s="48">
        <f>E99/30</f>
        <v>53333.333333333336</v>
      </c>
      <c r="F100" s="48"/>
      <c r="G100" s="48"/>
      <c r="H100" s="48"/>
      <c r="I100" s="48"/>
    </row>
    <row r="101" spans="2:9" x14ac:dyDescent="0.25">
      <c r="B101" s="47" t="s">
        <v>23</v>
      </c>
      <c r="C101" s="47"/>
      <c r="D101" s="47"/>
      <c r="E101" s="48">
        <f>E99</f>
        <v>1600000</v>
      </c>
      <c r="F101" s="48"/>
      <c r="G101" s="48"/>
      <c r="H101" s="48"/>
      <c r="I101" s="48"/>
    </row>
    <row r="102" spans="2:9" x14ac:dyDescent="0.25">
      <c r="B102" s="47" t="s">
        <v>24</v>
      </c>
      <c r="C102" s="47"/>
      <c r="D102" s="47"/>
      <c r="E102" s="22">
        <f>I98-1</f>
        <v>11.675000000000001</v>
      </c>
      <c r="F102" s="48">
        <f>E102*20*E100</f>
        <v>12453333.333333334</v>
      </c>
      <c r="G102" s="48"/>
      <c r="H102" s="48"/>
      <c r="I102" s="48"/>
    </row>
    <row r="103" spans="2:9" x14ac:dyDescent="0.25">
      <c r="B103" s="49" t="s">
        <v>25</v>
      </c>
      <c r="C103" s="49"/>
      <c r="D103" s="49"/>
      <c r="E103" s="23"/>
      <c r="F103" s="50">
        <f>E101+F102</f>
        <v>14053333.333333334</v>
      </c>
      <c r="G103" s="50"/>
      <c r="H103" s="50"/>
      <c r="I103" s="50"/>
    </row>
    <row r="105" spans="2:9" x14ac:dyDescent="0.25">
      <c r="B105" s="45" t="s">
        <v>26</v>
      </c>
      <c r="C105" s="45"/>
      <c r="D105" s="45"/>
      <c r="E105" s="45"/>
      <c r="F105" s="45"/>
    </row>
    <row r="106" spans="2:9" x14ac:dyDescent="0.25">
      <c r="B106" s="1" t="s">
        <v>0</v>
      </c>
      <c r="C106" s="1" t="s">
        <v>1</v>
      </c>
      <c r="D106" s="1" t="s">
        <v>2</v>
      </c>
      <c r="E106" s="1" t="s">
        <v>3</v>
      </c>
      <c r="F106" s="24" t="s">
        <v>27</v>
      </c>
    </row>
    <row r="107" spans="2:9" x14ac:dyDescent="0.25">
      <c r="B107" s="25">
        <v>38398</v>
      </c>
      <c r="C107" s="25">
        <v>38762</v>
      </c>
      <c r="D107" s="27">
        <v>951223</v>
      </c>
      <c r="E107" s="3">
        <f t="shared" ref="E107:E109" si="21">DAYS360(B107,C107)+1</f>
        <v>360</v>
      </c>
      <c r="F107" s="3">
        <f t="shared" ref="F107:F118" si="22">(D107/30)*E107</f>
        <v>11414676</v>
      </c>
    </row>
    <row r="108" spans="2:9" x14ac:dyDescent="0.25">
      <c r="B108" s="25">
        <v>38763</v>
      </c>
      <c r="C108" s="25">
        <v>39127</v>
      </c>
      <c r="D108" s="27">
        <v>1006585</v>
      </c>
      <c r="E108" s="3">
        <f t="shared" si="21"/>
        <v>360</v>
      </c>
      <c r="F108" s="3">
        <f t="shared" si="22"/>
        <v>12079020</v>
      </c>
    </row>
    <row r="109" spans="2:9" x14ac:dyDescent="0.25">
      <c r="B109" s="25">
        <v>39128</v>
      </c>
      <c r="C109" s="25">
        <v>39492</v>
      </c>
      <c r="D109" s="27">
        <v>1057892</v>
      </c>
      <c r="E109" s="3">
        <f t="shared" si="21"/>
        <v>360</v>
      </c>
      <c r="F109" s="3">
        <f t="shared" si="22"/>
        <v>12694704</v>
      </c>
    </row>
    <row r="110" spans="2:9" x14ac:dyDescent="0.25">
      <c r="B110" s="25">
        <v>39493</v>
      </c>
      <c r="C110" s="25">
        <v>39858</v>
      </c>
      <c r="D110" s="27">
        <v>1107508</v>
      </c>
      <c r="E110" s="3">
        <f>DAYS360(B110,C110)+1</f>
        <v>360</v>
      </c>
      <c r="F110" s="3">
        <f t="shared" si="22"/>
        <v>13290096</v>
      </c>
    </row>
    <row r="111" spans="2:9" x14ac:dyDescent="0.25">
      <c r="B111" s="25">
        <v>39859</v>
      </c>
      <c r="C111" s="25">
        <v>40223</v>
      </c>
      <c r="D111" s="27">
        <v>1174327</v>
      </c>
      <c r="E111" s="3">
        <f>DAYS360(B111,C111)+1</f>
        <v>360</v>
      </c>
      <c r="F111" s="3">
        <f t="shared" si="22"/>
        <v>14091923.999999998</v>
      </c>
    </row>
    <row r="112" spans="2:9" x14ac:dyDescent="0.25">
      <c r="B112" s="25">
        <v>40224</v>
      </c>
      <c r="C112" s="25">
        <v>40588</v>
      </c>
      <c r="D112" s="27">
        <v>1271880</v>
      </c>
      <c r="E112" s="3">
        <f>DAYS360(B112,C112)+1</f>
        <v>360</v>
      </c>
      <c r="F112" s="3">
        <f t="shared" si="22"/>
        <v>15262560</v>
      </c>
    </row>
    <row r="113" spans="2:6" x14ac:dyDescent="0.25">
      <c r="B113" s="25">
        <v>40589</v>
      </c>
      <c r="C113" s="25">
        <v>40953</v>
      </c>
      <c r="D113" s="27">
        <v>1297836</v>
      </c>
      <c r="E113" s="3">
        <f t="shared" ref="E113:E118" si="23">DAYS360(B113,C113)+1</f>
        <v>360</v>
      </c>
      <c r="F113" s="3">
        <f t="shared" si="22"/>
        <v>15574031.999999998</v>
      </c>
    </row>
    <row r="114" spans="2:6" x14ac:dyDescent="0.25">
      <c r="B114" s="25">
        <v>40954</v>
      </c>
      <c r="C114" s="25">
        <v>41319</v>
      </c>
      <c r="D114" s="27">
        <v>1340324</v>
      </c>
      <c r="E114" s="3">
        <f t="shared" si="23"/>
        <v>360</v>
      </c>
      <c r="F114" s="3">
        <f t="shared" si="22"/>
        <v>16083888</v>
      </c>
    </row>
    <row r="115" spans="2:6" x14ac:dyDescent="0.25">
      <c r="B115" s="25">
        <v>41320</v>
      </c>
      <c r="C115" s="25">
        <v>41684</v>
      </c>
      <c r="D115" s="27">
        <v>1392833</v>
      </c>
      <c r="E115" s="3">
        <f t="shared" si="23"/>
        <v>360</v>
      </c>
      <c r="F115" s="3">
        <f t="shared" si="22"/>
        <v>16713996.000000002</v>
      </c>
    </row>
    <row r="116" spans="2:6" x14ac:dyDescent="0.25">
      <c r="B116" s="25">
        <v>41685</v>
      </c>
      <c r="C116" s="25">
        <v>42049</v>
      </c>
      <c r="D116" s="27">
        <v>1427668</v>
      </c>
      <c r="E116" s="3">
        <f t="shared" si="23"/>
        <v>360</v>
      </c>
      <c r="F116" s="3">
        <f t="shared" si="22"/>
        <v>17132016</v>
      </c>
    </row>
    <row r="117" spans="2:6" x14ac:dyDescent="0.25">
      <c r="B117" s="25">
        <v>42050</v>
      </c>
      <c r="C117" s="25">
        <v>42414</v>
      </c>
      <c r="D117" s="27">
        <v>1455912</v>
      </c>
      <c r="E117" s="3">
        <f t="shared" si="23"/>
        <v>360</v>
      </c>
      <c r="F117" s="3">
        <f t="shared" si="22"/>
        <v>17470944</v>
      </c>
    </row>
    <row r="118" spans="2:6" x14ac:dyDescent="0.25">
      <c r="B118" s="25">
        <v>42415</v>
      </c>
      <c r="C118" s="25">
        <v>42620</v>
      </c>
      <c r="D118" s="27">
        <v>1524600</v>
      </c>
      <c r="E118" s="3">
        <f t="shared" si="23"/>
        <v>203</v>
      </c>
      <c r="F118" s="3">
        <f t="shared" si="22"/>
        <v>10316460</v>
      </c>
    </row>
    <row r="119" spans="2:6" x14ac:dyDescent="0.25">
      <c r="B119" s="39" t="s">
        <v>4</v>
      </c>
      <c r="C119" s="39"/>
      <c r="D119" s="39"/>
      <c r="E119" s="39"/>
      <c r="F119" s="5">
        <f>SUM(F110:F112)</f>
        <v>42644580</v>
      </c>
    </row>
    <row r="121" spans="2:6" x14ac:dyDescent="0.25">
      <c r="B121" s="52" t="s">
        <v>9</v>
      </c>
      <c r="C121" s="53"/>
      <c r="D121" s="53"/>
      <c r="E121" s="53"/>
      <c r="F121" s="54"/>
    </row>
    <row r="122" spans="2:6" x14ac:dyDescent="0.25">
      <c r="B122" s="55" t="s">
        <v>10</v>
      </c>
      <c r="C122" s="56"/>
      <c r="D122" s="55" t="s">
        <v>11</v>
      </c>
      <c r="E122" s="56"/>
      <c r="F122" s="7" t="s">
        <v>12</v>
      </c>
    </row>
    <row r="123" spans="2:6" x14ac:dyDescent="0.25">
      <c r="B123" s="57">
        <f>(1600000/30)</f>
        <v>53333.333333333336</v>
      </c>
      <c r="C123" s="58"/>
      <c r="D123" s="59">
        <v>180</v>
      </c>
      <c r="E123" s="60"/>
      <c r="F123" s="9">
        <f>B123*D123</f>
        <v>9600000</v>
      </c>
    </row>
    <row r="125" spans="2:6" x14ac:dyDescent="0.25">
      <c r="B125" s="38" t="s">
        <v>28</v>
      </c>
      <c r="C125" s="38"/>
      <c r="D125" s="38"/>
      <c r="E125" s="38"/>
      <c r="F125" s="8">
        <f>SUM(F38+F54+F71+F88+F92+F103+F119+F123)</f>
        <v>400300323.98941118</v>
      </c>
    </row>
    <row r="128" spans="2:6" x14ac:dyDescent="0.25">
      <c r="B128" s="40" t="s">
        <v>52</v>
      </c>
      <c r="C128" s="40"/>
      <c r="D128" s="40"/>
      <c r="E128" s="40"/>
      <c r="F128" s="40"/>
    </row>
    <row r="131" spans="2:6" x14ac:dyDescent="0.25">
      <c r="B131" s="1" t="s">
        <v>0</v>
      </c>
      <c r="C131" s="1" t="s">
        <v>1</v>
      </c>
      <c r="D131" s="1" t="s">
        <v>2</v>
      </c>
      <c r="E131" s="1" t="s">
        <v>3</v>
      </c>
      <c r="F131" s="2" t="s">
        <v>40</v>
      </c>
    </row>
    <row r="132" spans="2:6" x14ac:dyDescent="0.25">
      <c r="B132" s="32">
        <v>42621</v>
      </c>
      <c r="C132" s="10">
        <v>45238</v>
      </c>
      <c r="D132" s="27">
        <v>1600000</v>
      </c>
      <c r="E132" s="3">
        <f t="shared" ref="E132" si="24">DAYS360(B132,C132)+1</f>
        <v>2581</v>
      </c>
      <c r="F132" s="4">
        <f>(D132/30)*E132</f>
        <v>137653333.33333334</v>
      </c>
    </row>
    <row r="133" spans="2:6" x14ac:dyDescent="0.25">
      <c r="B133" s="41" t="s">
        <v>4</v>
      </c>
      <c r="C133" s="42"/>
      <c r="D133" s="42"/>
      <c r="E133" s="43"/>
      <c r="F133" s="5">
        <f>SUM(F132:F132)</f>
        <v>137653333.33333334</v>
      </c>
    </row>
    <row r="135" spans="2:6" x14ac:dyDescent="0.25">
      <c r="B135" s="1" t="s">
        <v>0</v>
      </c>
      <c r="C135" s="1" t="s">
        <v>1</v>
      </c>
      <c r="D135" s="1" t="s">
        <v>2</v>
      </c>
      <c r="E135" s="1" t="s">
        <v>3</v>
      </c>
      <c r="F135" s="2" t="s">
        <v>41</v>
      </c>
    </row>
    <row r="136" spans="2:6" x14ac:dyDescent="0.25">
      <c r="B136" s="32">
        <v>42621</v>
      </c>
      <c r="C136" s="10">
        <v>45238</v>
      </c>
      <c r="D136" s="27">
        <v>1600000</v>
      </c>
      <c r="E136" s="3">
        <f t="shared" ref="E136" si="25">DAYS360(B136,C136)+1</f>
        <v>2581</v>
      </c>
      <c r="F136" s="4">
        <f>(D136*E136)/360</f>
        <v>11471111.111111112</v>
      </c>
    </row>
    <row r="137" spans="2:6" x14ac:dyDescent="0.25">
      <c r="B137" s="39" t="s">
        <v>4</v>
      </c>
      <c r="C137" s="39"/>
      <c r="D137" s="39"/>
      <c r="E137" s="39"/>
      <c r="F137" s="5">
        <f>SUM(F136)</f>
        <v>11471111.111111112</v>
      </c>
    </row>
    <row r="139" spans="2:6" x14ac:dyDescent="0.25">
      <c r="B139" s="1" t="s">
        <v>0</v>
      </c>
      <c r="C139" s="1" t="s">
        <v>1</v>
      </c>
      <c r="D139" s="1" t="s">
        <v>2</v>
      </c>
      <c r="E139" s="1" t="s">
        <v>3</v>
      </c>
      <c r="F139" s="2" t="s">
        <v>42</v>
      </c>
    </row>
    <row r="140" spans="2:6" x14ac:dyDescent="0.25">
      <c r="B140" s="32">
        <v>42621</v>
      </c>
      <c r="C140" s="10">
        <v>45238</v>
      </c>
      <c r="D140" s="27">
        <v>1600000</v>
      </c>
      <c r="E140" s="3">
        <f t="shared" ref="E140" si="26">DAYS360(B140,C140)+1</f>
        <v>2581</v>
      </c>
      <c r="F140" s="33">
        <f t="shared" ref="F140" si="27">(D140*E140)/360</f>
        <v>11471111.111111112</v>
      </c>
    </row>
    <row r="141" spans="2:6" x14ac:dyDescent="0.25">
      <c r="B141" s="39" t="s">
        <v>4</v>
      </c>
      <c r="C141" s="39"/>
      <c r="D141" s="39"/>
      <c r="E141" s="39"/>
      <c r="F141" s="5">
        <f>SUM(F140)</f>
        <v>11471111.111111112</v>
      </c>
    </row>
    <row r="143" spans="2:6" x14ac:dyDescent="0.25">
      <c r="B143" s="1" t="s">
        <v>0</v>
      </c>
      <c r="C143" s="1" t="s">
        <v>1</v>
      </c>
      <c r="D143" s="1" t="s">
        <v>6</v>
      </c>
      <c r="E143" s="1" t="s">
        <v>3</v>
      </c>
      <c r="F143" s="2" t="s">
        <v>43</v>
      </c>
    </row>
    <row r="144" spans="2:6" x14ac:dyDescent="0.25">
      <c r="B144" s="32">
        <v>42621</v>
      </c>
      <c r="C144" s="10">
        <v>45238</v>
      </c>
      <c r="D144" s="27">
        <v>1600000</v>
      </c>
      <c r="E144" s="3">
        <f t="shared" ref="E144" si="28">DAYS360(B144,C144)+1</f>
        <v>2581</v>
      </c>
      <c r="F144" s="3">
        <f t="shared" ref="F144" si="29">(D144*E144*0.12)/360</f>
        <v>1376533.3333333333</v>
      </c>
    </row>
    <row r="145" spans="2:6" x14ac:dyDescent="0.25">
      <c r="B145" s="39" t="s">
        <v>4</v>
      </c>
      <c r="C145" s="39"/>
      <c r="D145" s="39"/>
      <c r="E145" s="39"/>
      <c r="F145" s="5">
        <f>SUM(F144)</f>
        <v>1376533.3333333333</v>
      </c>
    </row>
    <row r="147" spans="2:6" x14ac:dyDescent="0.25">
      <c r="B147" s="1" t="s">
        <v>0</v>
      </c>
      <c r="C147" s="1" t="s">
        <v>1</v>
      </c>
      <c r="D147" s="1" t="s">
        <v>2</v>
      </c>
      <c r="E147" s="1" t="s">
        <v>3</v>
      </c>
      <c r="F147" s="2" t="s">
        <v>47</v>
      </c>
    </row>
    <row r="148" spans="2:6" x14ac:dyDescent="0.25">
      <c r="B148" s="32">
        <v>42621</v>
      </c>
      <c r="C148" s="10">
        <v>45238</v>
      </c>
      <c r="D148" s="27">
        <v>1600000</v>
      </c>
      <c r="E148" s="3">
        <f>DAYS360(B148,C148)+1</f>
        <v>2581</v>
      </c>
      <c r="F148" s="3">
        <f>(D148*E148)/720</f>
        <v>5735555.555555556</v>
      </c>
    </row>
    <row r="149" spans="2:6" x14ac:dyDescent="0.25">
      <c r="B149" s="39" t="s">
        <v>4</v>
      </c>
      <c r="C149" s="39"/>
      <c r="D149" s="39"/>
      <c r="E149" s="39"/>
      <c r="F149" s="5">
        <f>SUM(F148)</f>
        <v>5735555.555555556</v>
      </c>
    </row>
    <row r="151" spans="2:6" x14ac:dyDescent="0.25">
      <c r="B151" s="38" t="s">
        <v>28</v>
      </c>
      <c r="C151" s="38"/>
      <c r="D151" s="38"/>
      <c r="E151" s="38"/>
      <c r="F151" s="8">
        <f>SUM(F133+F137+F141+F145+F149)</f>
        <v>167707644.44444445</v>
      </c>
    </row>
    <row r="153" spans="2:6" x14ac:dyDescent="0.25">
      <c r="B153" s="38" t="s">
        <v>53</v>
      </c>
      <c r="C153" s="38"/>
      <c r="D153" s="38"/>
      <c r="E153" s="38"/>
      <c r="F153" s="8">
        <f>SUM(F151+F125)</f>
        <v>568007968.43385565</v>
      </c>
    </row>
  </sheetData>
  <mergeCells count="41">
    <mergeCell ref="B121:F121"/>
    <mergeCell ref="B122:C122"/>
    <mergeCell ref="D122:E122"/>
    <mergeCell ref="B123:C123"/>
    <mergeCell ref="D123:E123"/>
    <mergeCell ref="B103:D103"/>
    <mergeCell ref="F103:I103"/>
    <mergeCell ref="B105:F105"/>
    <mergeCell ref="B119:E119"/>
    <mergeCell ref="H7:K17"/>
    <mergeCell ref="B99:D99"/>
    <mergeCell ref="E99:I99"/>
    <mergeCell ref="B100:D100"/>
    <mergeCell ref="E100:I100"/>
    <mergeCell ref="B101:D101"/>
    <mergeCell ref="E101:I101"/>
    <mergeCell ref="B95:I95"/>
    <mergeCell ref="B96:D96"/>
    <mergeCell ref="H96:I96"/>
    <mergeCell ref="B54:E54"/>
    <mergeCell ref="H19:K20"/>
    <mergeCell ref="B133:E133"/>
    <mergeCell ref="B137:E137"/>
    <mergeCell ref="B5:F5"/>
    <mergeCell ref="B7:F7"/>
    <mergeCell ref="B23:F23"/>
    <mergeCell ref="B38:E38"/>
    <mergeCell ref="B97:D97"/>
    <mergeCell ref="B98:D98"/>
    <mergeCell ref="B71:E71"/>
    <mergeCell ref="B88:E88"/>
    <mergeCell ref="B92:E92"/>
    <mergeCell ref="B125:E125"/>
    <mergeCell ref="B102:D102"/>
    <mergeCell ref="F102:I102"/>
    <mergeCell ref="B153:E153"/>
    <mergeCell ref="B141:E141"/>
    <mergeCell ref="B145:E145"/>
    <mergeCell ref="B149:E149"/>
    <mergeCell ref="B128:F128"/>
    <mergeCell ref="B151:E15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96614-C8B3-4D6F-A774-7869DE3A603B}">
  <dimension ref="A1:K47"/>
  <sheetViews>
    <sheetView workbookViewId="0">
      <selection activeCell="E20" sqref="E20"/>
    </sheetView>
  </sheetViews>
  <sheetFormatPr baseColWidth="10" defaultRowHeight="15" x14ac:dyDescent="0.25"/>
  <cols>
    <col min="2" max="2" width="12.140625" customWidth="1"/>
    <col min="3" max="3" width="19" bestFit="1" customWidth="1"/>
    <col min="4" max="4" width="19.5703125" bestFit="1" customWidth="1"/>
    <col min="5" max="5" width="15.140625" customWidth="1"/>
    <col min="6" max="6" width="26.42578125" bestFit="1" customWidth="1"/>
  </cols>
  <sheetData>
    <row r="1" spans="1:11" x14ac:dyDescent="0.25">
      <c r="B1" s="6"/>
      <c r="C1" s="6"/>
      <c r="D1" s="6"/>
      <c r="E1" s="6"/>
      <c r="F1" s="6"/>
      <c r="G1" s="6"/>
    </row>
    <row r="2" spans="1:11" x14ac:dyDescent="0.25">
      <c r="B2" s="6"/>
      <c r="C2" s="6"/>
      <c r="D2" s="6"/>
      <c r="E2" s="6"/>
      <c r="F2" s="6"/>
      <c r="G2" s="6"/>
    </row>
    <row r="3" spans="1:11" x14ac:dyDescent="0.25">
      <c r="B3" s="6"/>
      <c r="C3" s="6"/>
      <c r="D3" s="6"/>
      <c r="E3" s="6"/>
      <c r="F3" s="6"/>
      <c r="G3" s="6"/>
    </row>
    <row r="4" spans="1:11" x14ac:dyDescent="0.25">
      <c r="B4" s="6"/>
      <c r="C4" s="6"/>
      <c r="D4" s="6"/>
      <c r="E4" s="6"/>
      <c r="F4" s="6"/>
      <c r="G4" s="6"/>
    </row>
    <row r="5" spans="1:11" x14ac:dyDescent="0.25">
      <c r="A5" s="6"/>
      <c r="B5" s="40" t="s">
        <v>45</v>
      </c>
      <c r="C5" s="40"/>
      <c r="D5" s="40"/>
      <c r="E5" s="40"/>
      <c r="F5" s="40"/>
      <c r="G5" s="6"/>
    </row>
    <row r="6" spans="1:11" x14ac:dyDescent="0.25">
      <c r="B6" s="6"/>
      <c r="C6" s="6"/>
      <c r="D6" s="6"/>
      <c r="E6" s="6"/>
      <c r="F6" s="6"/>
      <c r="G6" s="6"/>
    </row>
    <row r="7" spans="1:11" x14ac:dyDescent="0.25">
      <c r="B7" s="64" t="s">
        <v>33</v>
      </c>
      <c r="C7" s="65"/>
      <c r="D7" s="65"/>
      <c r="E7" s="65"/>
      <c r="F7" s="66"/>
      <c r="H7" s="67" t="s">
        <v>46</v>
      </c>
      <c r="I7" s="67"/>
      <c r="J7" s="67"/>
      <c r="K7" s="67"/>
    </row>
    <row r="8" spans="1:11" x14ac:dyDescent="0.25">
      <c r="B8" s="26" t="s">
        <v>14</v>
      </c>
      <c r="C8" s="26" t="s">
        <v>29</v>
      </c>
      <c r="D8" s="26" t="s">
        <v>30</v>
      </c>
      <c r="E8" s="26" t="s">
        <v>31</v>
      </c>
      <c r="F8" s="26" t="s">
        <v>32</v>
      </c>
      <c r="H8" s="67"/>
      <c r="I8" s="67"/>
      <c r="J8" s="67"/>
      <c r="K8" s="67"/>
    </row>
    <row r="9" spans="1:11" x14ac:dyDescent="0.25">
      <c r="B9" s="26">
        <v>2011</v>
      </c>
      <c r="C9" s="29">
        <v>599200</v>
      </c>
      <c r="D9" s="27">
        <v>1340324</v>
      </c>
      <c r="E9" s="28">
        <f t="shared" ref="E9:E10" si="0">D9-C9</f>
        <v>741124</v>
      </c>
      <c r="F9" s="28">
        <f t="shared" ref="F9:F10" si="1">E9/30</f>
        <v>24704.133333333335</v>
      </c>
      <c r="H9" s="67"/>
      <c r="I9" s="67"/>
      <c r="J9" s="67"/>
      <c r="K9" s="67"/>
    </row>
    <row r="10" spans="1:11" x14ac:dyDescent="0.25">
      <c r="B10" s="26">
        <v>2012</v>
      </c>
      <c r="C10" s="29">
        <v>634500</v>
      </c>
      <c r="D10" s="27">
        <v>1392833</v>
      </c>
      <c r="E10" s="28">
        <f t="shared" si="0"/>
        <v>758333</v>
      </c>
      <c r="F10" s="28">
        <f t="shared" si="1"/>
        <v>25277.766666666666</v>
      </c>
      <c r="H10" s="67"/>
      <c r="I10" s="67"/>
      <c r="J10" s="67"/>
      <c r="K10" s="67"/>
    </row>
    <row r="12" spans="1:11" ht="15" customHeight="1" x14ac:dyDescent="0.25">
      <c r="B12" s="45" t="s">
        <v>34</v>
      </c>
      <c r="C12" s="45"/>
      <c r="D12" s="45"/>
      <c r="E12" s="45"/>
      <c r="F12" s="45"/>
      <c r="H12" s="51" t="s">
        <v>54</v>
      </c>
      <c r="I12" s="51"/>
      <c r="J12" s="51"/>
      <c r="K12" s="51"/>
    </row>
    <row r="13" spans="1:11" x14ac:dyDescent="0.25">
      <c r="B13" s="26" t="s">
        <v>14</v>
      </c>
      <c r="C13" s="31" t="s">
        <v>35</v>
      </c>
      <c r="D13" s="31" t="s">
        <v>36</v>
      </c>
      <c r="E13" s="31" t="s">
        <v>37</v>
      </c>
      <c r="F13" s="31" t="s">
        <v>38</v>
      </c>
      <c r="H13" s="51"/>
      <c r="I13" s="51"/>
      <c r="J13" s="51"/>
      <c r="K13" s="51"/>
    </row>
    <row r="14" spans="1:11" x14ac:dyDescent="0.25">
      <c r="B14" s="26">
        <v>2011</v>
      </c>
      <c r="C14" s="32">
        <v>40544</v>
      </c>
      <c r="D14" s="32">
        <v>40908</v>
      </c>
      <c r="E14" s="30">
        <f t="shared" ref="E14" si="2">DAYS360(C14,D14)</f>
        <v>360</v>
      </c>
      <c r="F14" s="28">
        <f>F9*E14</f>
        <v>8893488</v>
      </c>
      <c r="H14" s="51"/>
      <c r="I14" s="51"/>
      <c r="J14" s="51"/>
      <c r="K14" s="51"/>
    </row>
    <row r="15" spans="1:11" x14ac:dyDescent="0.25">
      <c r="B15" s="26">
        <v>2012</v>
      </c>
      <c r="C15" s="32">
        <v>40909</v>
      </c>
      <c r="D15" s="32">
        <v>40909</v>
      </c>
      <c r="E15" s="30">
        <v>1</v>
      </c>
      <c r="F15" s="28">
        <f>F10*E15</f>
        <v>25277.766666666666</v>
      </c>
      <c r="H15" s="51"/>
      <c r="I15" s="51"/>
      <c r="J15" s="51"/>
      <c r="K15" s="51"/>
    </row>
    <row r="16" spans="1:11" x14ac:dyDescent="0.25">
      <c r="B16" s="39" t="s">
        <v>4</v>
      </c>
      <c r="C16" s="39"/>
      <c r="D16" s="39"/>
      <c r="E16" s="39"/>
      <c r="F16" s="36">
        <f>SUM(F14:F15)</f>
        <v>8918765.7666666675</v>
      </c>
      <c r="H16" s="51"/>
      <c r="I16" s="51"/>
      <c r="J16" s="51"/>
      <c r="K16" s="51"/>
    </row>
    <row r="17" spans="2:11" x14ac:dyDescent="0.25">
      <c r="H17" s="51"/>
      <c r="I17" s="51"/>
      <c r="J17" s="51"/>
      <c r="K17" s="51"/>
    </row>
    <row r="18" spans="2:11" x14ac:dyDescent="0.25">
      <c r="B18" s="1" t="s">
        <v>0</v>
      </c>
      <c r="C18" s="1" t="s">
        <v>1</v>
      </c>
      <c r="D18" s="1" t="s">
        <v>2</v>
      </c>
      <c r="E18" s="1" t="s">
        <v>3</v>
      </c>
      <c r="F18" s="2" t="s">
        <v>5</v>
      </c>
      <c r="H18" s="51"/>
      <c r="I18" s="51"/>
      <c r="J18" s="51"/>
      <c r="K18" s="51"/>
    </row>
    <row r="19" spans="2:11" x14ac:dyDescent="0.25">
      <c r="B19" s="12">
        <v>40544</v>
      </c>
      <c r="C19" s="12">
        <v>40908</v>
      </c>
      <c r="D19" s="11">
        <f>F14</f>
        <v>8893488</v>
      </c>
      <c r="E19" s="3">
        <f t="shared" ref="E19" si="3">DAYS360(B19,C19)</f>
        <v>360</v>
      </c>
      <c r="F19" s="4">
        <f>(D19*E19)/360</f>
        <v>8893488</v>
      </c>
      <c r="H19" s="51"/>
      <c r="I19" s="51"/>
      <c r="J19" s="51"/>
      <c r="K19" s="51"/>
    </row>
    <row r="20" spans="2:11" x14ac:dyDescent="0.25">
      <c r="B20" s="25">
        <v>40909</v>
      </c>
      <c r="C20" s="25">
        <v>40909</v>
      </c>
      <c r="D20" s="11">
        <f>F15</f>
        <v>25277.766666666666</v>
      </c>
      <c r="E20" s="3">
        <v>1</v>
      </c>
      <c r="F20" s="4">
        <f>(D20*E20)/360</f>
        <v>70.216018518518524</v>
      </c>
      <c r="H20" s="51"/>
      <c r="I20" s="51"/>
      <c r="J20" s="51"/>
      <c r="K20" s="51"/>
    </row>
    <row r="21" spans="2:11" x14ac:dyDescent="0.25">
      <c r="B21" s="39" t="s">
        <v>4</v>
      </c>
      <c r="C21" s="39"/>
      <c r="D21" s="39"/>
      <c r="E21" s="39"/>
      <c r="F21" s="5">
        <f>SUM(F19:F20)</f>
        <v>8893558.2160185184</v>
      </c>
      <c r="H21" s="51"/>
      <c r="I21" s="51"/>
      <c r="J21" s="51"/>
      <c r="K21" s="51"/>
    </row>
    <row r="22" spans="2:11" x14ac:dyDescent="0.25">
      <c r="H22" s="51"/>
      <c r="I22" s="51"/>
      <c r="J22" s="51"/>
      <c r="K22" s="51"/>
    </row>
    <row r="23" spans="2:11" x14ac:dyDescent="0.25">
      <c r="B23" s="1" t="s">
        <v>0</v>
      </c>
      <c r="C23" s="1" t="s">
        <v>1</v>
      </c>
      <c r="D23" s="1" t="s">
        <v>2</v>
      </c>
      <c r="E23" s="1" t="s">
        <v>3</v>
      </c>
      <c r="F23" s="2" t="s">
        <v>6</v>
      </c>
      <c r="H23" s="51"/>
      <c r="I23" s="51"/>
      <c r="J23" s="51"/>
      <c r="K23" s="51"/>
    </row>
    <row r="24" spans="2:11" x14ac:dyDescent="0.25">
      <c r="B24" s="12">
        <v>40544</v>
      </c>
      <c r="C24" s="12">
        <v>40908</v>
      </c>
      <c r="D24" s="34">
        <f>F14</f>
        <v>8893488</v>
      </c>
      <c r="E24" s="3">
        <f t="shared" ref="E24" si="4">DAYS360(B24,C24)</f>
        <v>360</v>
      </c>
      <c r="F24" s="33">
        <f t="shared" ref="F24:F25" si="5">(D24*E24)/360</f>
        <v>8893488</v>
      </c>
    </row>
    <row r="25" spans="2:11" x14ac:dyDescent="0.25">
      <c r="B25" s="25">
        <v>40909</v>
      </c>
      <c r="C25" s="25">
        <v>40909</v>
      </c>
      <c r="D25" s="34">
        <f>F15</f>
        <v>25277.766666666666</v>
      </c>
      <c r="E25" s="3">
        <v>1</v>
      </c>
      <c r="F25" s="33">
        <f t="shared" si="5"/>
        <v>70.216018518518524</v>
      </c>
    </row>
    <row r="26" spans="2:11" x14ac:dyDescent="0.25">
      <c r="B26" s="39" t="s">
        <v>4</v>
      </c>
      <c r="C26" s="39"/>
      <c r="D26" s="39"/>
      <c r="E26" s="39"/>
      <c r="F26" s="5">
        <f>SUM(F24:F25)</f>
        <v>8893558.2160185184</v>
      </c>
    </row>
    <row r="28" spans="2:11" x14ac:dyDescent="0.25">
      <c r="B28" s="1" t="s">
        <v>0</v>
      </c>
      <c r="C28" s="1" t="s">
        <v>1</v>
      </c>
      <c r="D28" s="1" t="s">
        <v>6</v>
      </c>
      <c r="E28" s="1" t="s">
        <v>3</v>
      </c>
      <c r="F28" s="2" t="s">
        <v>7</v>
      </c>
    </row>
    <row r="29" spans="2:11" x14ac:dyDescent="0.25">
      <c r="B29" s="12">
        <v>40544</v>
      </c>
      <c r="C29" s="12">
        <v>40908</v>
      </c>
      <c r="D29" s="33">
        <f>F24</f>
        <v>8893488</v>
      </c>
      <c r="E29" s="3">
        <f t="shared" ref="E29" si="6">DAYS360(B29,C29)</f>
        <v>360</v>
      </c>
      <c r="F29" s="3">
        <f t="shared" ref="F29:F30" si="7">(D29*E29*0.12)/360</f>
        <v>1067218.5599999998</v>
      </c>
    </row>
    <row r="30" spans="2:11" x14ac:dyDescent="0.25">
      <c r="B30" s="25">
        <v>40909</v>
      </c>
      <c r="C30" s="25">
        <v>40909</v>
      </c>
      <c r="D30" s="33">
        <f>F25</f>
        <v>70.216018518518524</v>
      </c>
      <c r="E30" s="3">
        <v>1</v>
      </c>
      <c r="F30" s="3">
        <f t="shared" si="7"/>
        <v>2.340533950617284E-2</v>
      </c>
    </row>
    <row r="31" spans="2:11" x14ac:dyDescent="0.25">
      <c r="B31" s="39" t="s">
        <v>4</v>
      </c>
      <c r="C31" s="39"/>
      <c r="D31" s="39"/>
      <c r="E31" s="39"/>
      <c r="F31" s="5">
        <f>SUM(F29:F30)</f>
        <v>1067218.5834053394</v>
      </c>
    </row>
    <row r="33" spans="2:9" x14ac:dyDescent="0.25">
      <c r="B33" s="1" t="s">
        <v>0</v>
      </c>
      <c r="C33" s="1" t="s">
        <v>1</v>
      </c>
      <c r="D33" s="1" t="s">
        <v>2</v>
      </c>
      <c r="E33" s="1" t="s">
        <v>3</v>
      </c>
      <c r="F33" s="2" t="s">
        <v>8</v>
      </c>
    </row>
    <row r="34" spans="2:9" x14ac:dyDescent="0.25">
      <c r="B34" s="12">
        <v>40544</v>
      </c>
      <c r="C34" s="25">
        <v>40909</v>
      </c>
      <c r="D34" s="27">
        <v>1392833</v>
      </c>
      <c r="E34" s="3">
        <f>DAYS360(B34,C34)</f>
        <v>360</v>
      </c>
      <c r="F34" s="3">
        <f>(D34*E34)/720</f>
        <v>696416.5</v>
      </c>
    </row>
    <row r="35" spans="2:9" x14ac:dyDescent="0.25">
      <c r="B35" s="39" t="s">
        <v>4</v>
      </c>
      <c r="C35" s="39"/>
      <c r="D35" s="39"/>
      <c r="E35" s="39"/>
      <c r="F35" s="5">
        <f>SUM(F34:F34)</f>
        <v>696416.5</v>
      </c>
    </row>
    <row r="37" spans="2:9" x14ac:dyDescent="0.25">
      <c r="B37" s="45" t="s">
        <v>13</v>
      </c>
      <c r="C37" s="45"/>
      <c r="D37" s="45"/>
      <c r="E37" s="45"/>
      <c r="F37" s="45"/>
      <c r="G37" s="45"/>
      <c r="H37" s="45"/>
      <c r="I37" s="45"/>
    </row>
    <row r="38" spans="2:9" x14ac:dyDescent="0.25">
      <c r="B38" s="62"/>
      <c r="C38" s="62"/>
      <c r="D38" s="62"/>
      <c r="E38" s="13" t="s">
        <v>14</v>
      </c>
      <c r="F38" s="13" t="s">
        <v>15</v>
      </c>
      <c r="G38" s="13" t="s">
        <v>16</v>
      </c>
      <c r="H38" s="63" t="s">
        <v>17</v>
      </c>
      <c r="I38" s="63"/>
    </row>
    <row r="39" spans="2:9" x14ac:dyDescent="0.25">
      <c r="B39" s="47" t="s">
        <v>44</v>
      </c>
      <c r="C39" s="47"/>
      <c r="D39" s="47"/>
      <c r="E39" s="14">
        <v>2012</v>
      </c>
      <c r="F39" s="14">
        <v>1</v>
      </c>
      <c r="G39" s="15">
        <v>1</v>
      </c>
      <c r="H39" s="16" t="s">
        <v>18</v>
      </c>
      <c r="I39" s="17" t="s">
        <v>19</v>
      </c>
    </row>
    <row r="40" spans="2:9" x14ac:dyDescent="0.25">
      <c r="B40" s="47" t="s">
        <v>20</v>
      </c>
      <c r="C40" s="47"/>
      <c r="D40" s="47"/>
      <c r="E40" s="18">
        <v>2011</v>
      </c>
      <c r="F40" s="18">
        <v>1</v>
      </c>
      <c r="G40" s="19">
        <v>1</v>
      </c>
      <c r="H40" s="20">
        <f>(E39-E40)*360+(F39-F40)*30+(G39-G40+1)</f>
        <v>361</v>
      </c>
      <c r="I40" s="21">
        <f>H40/360</f>
        <v>1.0027777777777778</v>
      </c>
    </row>
    <row r="41" spans="2:9" x14ac:dyDescent="0.25">
      <c r="B41" s="47" t="s">
        <v>21</v>
      </c>
      <c r="C41" s="47"/>
      <c r="D41" s="47"/>
      <c r="E41" s="61">
        <v>1392833</v>
      </c>
      <c r="F41" s="61"/>
      <c r="G41" s="61"/>
      <c r="H41" s="61"/>
      <c r="I41" s="61"/>
    </row>
    <row r="42" spans="2:9" x14ac:dyDescent="0.25">
      <c r="B42" s="47" t="s">
        <v>22</v>
      </c>
      <c r="C42" s="47"/>
      <c r="D42" s="47"/>
      <c r="E42" s="48">
        <f>E41/30</f>
        <v>46427.76666666667</v>
      </c>
      <c r="F42" s="48"/>
      <c r="G42" s="48"/>
      <c r="H42" s="48"/>
      <c r="I42" s="48"/>
    </row>
    <row r="43" spans="2:9" x14ac:dyDescent="0.25">
      <c r="B43" s="47" t="s">
        <v>23</v>
      </c>
      <c r="C43" s="47"/>
      <c r="D43" s="47"/>
      <c r="E43" s="48">
        <f>E41</f>
        <v>1392833</v>
      </c>
      <c r="F43" s="48"/>
      <c r="G43" s="48"/>
      <c r="H43" s="48"/>
      <c r="I43" s="48"/>
    </row>
    <row r="44" spans="2:9" x14ac:dyDescent="0.25">
      <c r="B44" s="47" t="s">
        <v>24</v>
      </c>
      <c r="C44" s="47"/>
      <c r="D44" s="47"/>
      <c r="E44" s="22">
        <f>I40-1</f>
        <v>2.7777777777777679E-3</v>
      </c>
      <c r="F44" s="48">
        <f>E44*20*E42</f>
        <v>2579.3203703703616</v>
      </c>
      <c r="G44" s="48"/>
      <c r="H44" s="48"/>
      <c r="I44" s="48"/>
    </row>
    <row r="45" spans="2:9" x14ac:dyDescent="0.25">
      <c r="B45" s="49" t="s">
        <v>25</v>
      </c>
      <c r="C45" s="49"/>
      <c r="D45" s="49"/>
      <c r="E45" s="23"/>
      <c r="F45" s="50">
        <f>E43+F44</f>
        <v>1395412.3203703703</v>
      </c>
      <c r="G45" s="50"/>
      <c r="H45" s="50"/>
      <c r="I45" s="50"/>
    </row>
    <row r="47" spans="2:9" x14ac:dyDescent="0.25">
      <c r="B47" s="38" t="s">
        <v>28</v>
      </c>
      <c r="C47" s="38"/>
      <c r="D47" s="38"/>
      <c r="E47" s="38"/>
      <c r="F47" s="37">
        <f>SUM(F16+F21+F26+F31+F35+F45)</f>
        <v>29864929.602479413</v>
      </c>
    </row>
  </sheetData>
  <mergeCells count="26">
    <mergeCell ref="H12:K23"/>
    <mergeCell ref="H7:K10"/>
    <mergeCell ref="B47:E47"/>
    <mergeCell ref="B44:D44"/>
    <mergeCell ref="F44:I44"/>
    <mergeCell ref="B45:D45"/>
    <mergeCell ref="F45:I45"/>
    <mergeCell ref="B41:D41"/>
    <mergeCell ref="E41:I41"/>
    <mergeCell ref="B42:D42"/>
    <mergeCell ref="E42:I42"/>
    <mergeCell ref="B43:D43"/>
    <mergeCell ref="E43:I43"/>
    <mergeCell ref="B37:I37"/>
    <mergeCell ref="B38:D38"/>
    <mergeCell ref="H38:I38"/>
    <mergeCell ref="B39:D39"/>
    <mergeCell ref="B40:D40"/>
    <mergeCell ref="B26:E26"/>
    <mergeCell ref="B31:E31"/>
    <mergeCell ref="B35:E35"/>
    <mergeCell ref="B5:F5"/>
    <mergeCell ref="B7:F7"/>
    <mergeCell ref="B12:F12"/>
    <mergeCell ref="B16:E16"/>
    <mergeCell ref="B21:E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LIQ. PRETENSIONES DEMANDA</vt:lpstr>
      <vt:lpstr>PML</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Natalia Esquivel Vega</cp:lastModifiedBy>
  <cp:revision/>
  <dcterms:created xsi:type="dcterms:W3CDTF">2023-05-23T18:21:31Z</dcterms:created>
  <dcterms:modified xsi:type="dcterms:W3CDTF">2023-11-08T22:34:14Z</dcterms:modified>
  <cp:category/>
  <cp:contentStatus/>
</cp:coreProperties>
</file>