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A1DD1CDB-2AC4-4CC0-89A4-85E347AA194F}" xr6:coauthVersionLast="47" xr6:coauthVersionMax="47" xr10:uidLastSave="{00000000-0000-0000-0000-000000000000}"/>
  <bookViews>
    <workbookView xWindow="-120" yWindow="-120" windowWidth="24240" windowHeight="13020" xr2:uid="{69AAD36E-CAFA-43EB-832F-400E58192986}"/>
  </bookViews>
  <sheets>
    <sheet name="LIQ. PRETENSIONES DEMANDA" sheetId="1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12" l="1"/>
  <c r="F44" i="12"/>
  <c r="F34" i="12"/>
  <c r="F24" i="12"/>
  <c r="F14" i="12"/>
  <c r="E52" i="12" l="1"/>
  <c r="C59" i="12" s="1"/>
  <c r="G59" i="12" s="1"/>
  <c r="E53" i="12"/>
  <c r="H50" i="12"/>
  <c r="I50" i="12" s="1"/>
  <c r="F54" i="12" l="1"/>
  <c r="F55" i="12" s="1"/>
  <c r="F38" i="12" l="1"/>
  <c r="F40" i="12"/>
  <c r="F41" i="12"/>
  <c r="F42" i="12"/>
  <c r="F43" i="12"/>
  <c r="F39" i="12"/>
  <c r="F28" i="12"/>
  <c r="F30" i="12"/>
  <c r="G30" i="12" s="1"/>
  <c r="E40" i="12" s="1"/>
  <c r="F31" i="12"/>
  <c r="G31" i="12" s="1"/>
  <c r="E41" i="12" s="1"/>
  <c r="F32" i="12"/>
  <c r="G32" i="12" s="1"/>
  <c r="E42" i="12" s="1"/>
  <c r="F33" i="12"/>
  <c r="G33" i="12" s="1"/>
  <c r="E43" i="12" s="1"/>
  <c r="G34" i="12"/>
  <c r="E44" i="12" s="1"/>
  <c r="F29" i="12"/>
  <c r="G29" i="12" s="1"/>
  <c r="E39" i="12" s="1"/>
  <c r="F18" i="12"/>
  <c r="F8" i="12"/>
  <c r="F20" i="12"/>
  <c r="G20" i="12" s="1"/>
  <c r="F21" i="12"/>
  <c r="G21" i="12" s="1"/>
  <c r="F22" i="12"/>
  <c r="G22" i="12" s="1"/>
  <c r="F23" i="12"/>
  <c r="G23" i="12" s="1"/>
  <c r="G24" i="12"/>
  <c r="F19" i="12"/>
  <c r="G19" i="12" s="1"/>
  <c r="F10" i="12"/>
  <c r="G10" i="12" s="1"/>
  <c r="F11" i="12"/>
  <c r="G11" i="12" s="1"/>
  <c r="F12" i="12"/>
  <c r="G12" i="12" s="1"/>
  <c r="F13" i="12"/>
  <c r="G13" i="12" s="1"/>
  <c r="G14" i="12"/>
  <c r="F9" i="12"/>
  <c r="G9" i="12" s="1"/>
  <c r="G44" i="12" l="1"/>
  <c r="G43" i="12"/>
  <c r="G39" i="12"/>
  <c r="G42" i="12"/>
  <c r="G40" i="12"/>
  <c r="G41" i="12"/>
  <c r="G8" i="12" l="1"/>
  <c r="G15" i="12" s="1"/>
  <c r="G18" i="12"/>
  <c r="G25" i="12" s="1"/>
  <c r="G28" i="12"/>
  <c r="E38" i="12" s="1"/>
  <c r="G38" i="12" l="1"/>
  <c r="G45" i="12" s="1"/>
  <c r="G35" i="12"/>
</calcChain>
</file>

<file path=xl/sharedStrings.xml><?xml version="1.0" encoding="utf-8"?>
<sst xmlns="http://schemas.openxmlformats.org/spreadsheetml/2006/main" count="48" uniqueCount="33">
  <si>
    <t>LIQUIDACIÓN DE LAS PRETENSIONES DE LA DEMANDA (DESDE EL 22/02/2018 A LA FECHA)</t>
  </si>
  <si>
    <t>DESDE</t>
  </si>
  <si>
    <t>HASTA</t>
  </si>
  <si>
    <t>SALARIO</t>
  </si>
  <si>
    <t>DÍAS</t>
  </si>
  <si>
    <t>SALARIOS</t>
  </si>
  <si>
    <t xml:space="preserve"> </t>
  </si>
  <si>
    <t>TOTAL ADEUDADO</t>
  </si>
  <si>
    <t>PRIMAS</t>
  </si>
  <si>
    <t>CESANTÍAS</t>
  </si>
  <si>
    <t>INTERESES</t>
  </si>
  <si>
    <t>INDEMNIZACIÓN ARTÍCULO 64 DEL C.S.T.</t>
  </si>
  <si>
    <t>AÑO</t>
  </si>
  <si>
    <t>MES</t>
  </si>
  <si>
    <t>DÍA</t>
  </si>
  <si>
    <t>Tiempo Laborado en:</t>
  </si>
  <si>
    <t>Fecha de Liquidación:</t>
  </si>
  <si>
    <t>Días</t>
  </si>
  <si>
    <t>Años</t>
  </si>
  <si>
    <t>Fecha de Ingreso:</t>
  </si>
  <si>
    <t>Ingreso Mensual:</t>
  </si>
  <si>
    <t>Ingreso Diario:</t>
  </si>
  <si>
    <t>Indemnización primer año</t>
  </si>
  <si>
    <t>Indemnización años adicionales:</t>
  </si>
  <si>
    <t>Total Indemnizacón:</t>
  </si>
  <si>
    <t>Total Liquidación:</t>
  </si>
  <si>
    <r>
      <rPr>
        <b/>
        <sz val="11"/>
        <color theme="1"/>
        <rFont val="Calibri"/>
        <family val="2"/>
        <scheme val="minor"/>
      </rPr>
      <t>Nota 2</t>
    </r>
    <r>
      <rPr>
        <sz val="11"/>
        <color theme="1"/>
        <rFont val="Calibri"/>
        <family val="2"/>
        <scheme val="minor"/>
      </rPr>
      <t>: Se liquidó con base al SMLMV, a las prestaciones sociales  se les sumó el Aux. transporte.
Si bien el demandante solicita reliquidación, el salario pactado en el contrato y lo cancelado en nómina se ajusta a la realidad, por tanto, dicha pretensión no se liquida, así como tampoco la sanción del art. 65 CST por sustracción de materia</t>
    </r>
  </si>
  <si>
    <r>
      <rPr>
        <b/>
        <sz val="11"/>
        <color theme="1"/>
        <rFont val="Calibri"/>
        <family val="2"/>
        <scheme val="minor"/>
      </rPr>
      <t>Nota 1</t>
    </r>
    <r>
      <rPr>
        <sz val="11"/>
        <color theme="1"/>
        <rFont val="Calibri"/>
        <family val="2"/>
        <scheme val="minor"/>
      </rPr>
      <t xml:space="preserve">: El demandante solicita el </t>
    </r>
    <r>
      <rPr>
        <u/>
        <sz val="11"/>
        <color theme="1"/>
        <rFont val="Calibri"/>
        <family val="2"/>
        <scheme val="minor"/>
      </rPr>
      <t xml:space="preserve">reintegro </t>
    </r>
    <r>
      <rPr>
        <sz val="11"/>
        <color theme="1"/>
        <rFont val="Calibri"/>
        <family val="2"/>
        <scheme val="minor"/>
      </rPr>
      <t xml:space="preserve">desde el 05/09/2018 y con ello el pago de salarios insolutos y aportes a pensión y la sanción de 180 días. 
Subsidiariamente solicita (i) el pago de la indemnización por despido injusto, (ii) el pago de reliquidación de prestaciones sociales con el salario real, sanción artículo 65, sanción por no consignación de cesantías.
</t>
    </r>
  </si>
  <si>
    <t>INDEMNIZACIÓN LEY 361 DE 1997</t>
  </si>
  <si>
    <t>Salario diario</t>
  </si>
  <si>
    <t>x 180 días</t>
  </si>
  <si>
    <t>Total</t>
  </si>
  <si>
    <t>Desde el 06/09/2018, un día después de la fecha de finalizacion laboral, hasta el 30/06/2024 fecha en que se realiza la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</si>
</sst>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8" formatCode="&quot;$&quot;\ #,##0.00;[Red]\-&quot;$&quot;\ #,##0.0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0.0"/>
  </numFmts>
  <fonts count="12" x14ac:knownFonts="1">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u/>
      <sz val="9"/>
      <color theme="1"/>
      <name val="Calibri"/>
      <family val="2"/>
      <scheme val="minor"/>
    </font>
    <font>
      <b/>
      <sz val="10"/>
      <color theme="0"/>
      <name val="Calibri"/>
      <family val="2"/>
      <scheme val="minor"/>
    </font>
    <font>
      <sz val="9"/>
      <name val="Arial"/>
      <family val="2"/>
    </font>
    <font>
      <b/>
      <sz val="9"/>
      <name val="Arial"/>
      <family val="2"/>
    </font>
    <font>
      <b/>
      <sz val="9"/>
      <color theme="1"/>
      <name val="Arial"/>
      <family val="2"/>
    </font>
    <font>
      <b/>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7">
    <xf numFmtId="0" fontId="0" fillId="0" borderId="0" xfId="0"/>
    <xf numFmtId="0" fontId="3" fillId="0" borderId="1" xfId="0" applyFont="1" applyBorder="1" applyAlignment="1">
      <alignment horizontal="center"/>
    </xf>
    <xf numFmtId="164" fontId="3" fillId="2" borderId="1" xfId="1" applyNumberFormat="1" applyFont="1" applyFill="1" applyBorder="1" applyAlignment="1">
      <alignment horizontal="center"/>
    </xf>
    <xf numFmtId="164" fontId="4" fillId="0" borderId="1" xfId="1" applyNumberFormat="1" applyFont="1" applyBorder="1"/>
    <xf numFmtId="164" fontId="4" fillId="0" borderId="1" xfId="1" applyNumberFormat="1" applyFont="1" applyFill="1" applyBorder="1"/>
    <xf numFmtId="164" fontId="3" fillId="3" borderId="1" xfId="1" applyNumberFormat="1" applyFont="1" applyFill="1" applyBorder="1"/>
    <xf numFmtId="0" fontId="4" fillId="0" borderId="0" xfId="0" applyFont="1"/>
    <xf numFmtId="164" fontId="4" fillId="0" borderId="1" xfId="0" applyNumberFormat="1" applyFont="1" applyBorder="1" applyAlignment="1">
      <alignment horizontal="center"/>
    </xf>
    <xf numFmtId="164" fontId="3" fillId="2" borderId="1" xfId="7" applyNumberFormat="1" applyFont="1" applyFill="1" applyBorder="1" applyAlignment="1">
      <alignment horizontal="center"/>
    </xf>
    <xf numFmtId="14" fontId="4" fillId="0" borderId="1" xfId="0" applyNumberFormat="1" applyFont="1" applyBorder="1"/>
    <xf numFmtId="164" fontId="4" fillId="0" borderId="1" xfId="7" applyNumberFormat="1" applyFont="1" applyBorder="1"/>
    <xf numFmtId="164" fontId="3" fillId="3" borderId="1" xfId="7" applyNumberFormat="1" applyFont="1" applyFill="1" applyBorder="1"/>
    <xf numFmtId="0" fontId="3" fillId="0" borderId="0" xfId="0" applyFont="1" applyAlignment="1">
      <alignment horizontal="center"/>
    </xf>
    <xf numFmtId="164" fontId="6" fillId="4" borderId="1" xfId="0" applyNumberFormat="1" applyFont="1" applyFill="1" applyBorder="1"/>
    <xf numFmtId="0" fontId="4" fillId="0" borderId="6" xfId="0" applyFont="1" applyBorder="1"/>
    <xf numFmtId="0" fontId="7" fillId="0" borderId="1" xfId="0" applyFont="1" applyBorder="1"/>
    <xf numFmtId="0" fontId="8" fillId="0" borderId="1" xfId="0" applyFont="1" applyBorder="1" applyAlignment="1">
      <alignment horizontal="center"/>
    </xf>
    <xf numFmtId="0" fontId="9" fillId="0" borderId="1" xfId="0" applyFont="1" applyBorder="1" applyAlignment="1">
      <alignment horizontal="center"/>
    </xf>
    <xf numFmtId="0" fontId="7" fillId="0" borderId="1" xfId="0" applyFont="1" applyBorder="1" applyAlignment="1">
      <alignment horizontal="center"/>
    </xf>
    <xf numFmtId="0" fontId="8" fillId="2" borderId="1" xfId="0" applyFont="1" applyFill="1" applyBorder="1" applyAlignment="1">
      <alignment horizontal="center"/>
    </xf>
    <xf numFmtId="168" fontId="8" fillId="2" borderId="1" xfId="0" applyNumberFormat="1" applyFont="1" applyFill="1" applyBorder="1" applyAlignment="1">
      <alignment horizontal="center"/>
    </xf>
    <xf numFmtId="3" fontId="7" fillId="0" borderId="1" xfId="0" applyNumberFormat="1" applyFont="1" applyBorder="1" applyAlignment="1">
      <alignment horizontal="center"/>
    </xf>
    <xf numFmtId="2" fontId="7" fillId="0" borderId="1" xfId="0" applyNumberFormat="1" applyFont="1" applyBorder="1" applyAlignment="1">
      <alignment horizontal="center"/>
    </xf>
    <xf numFmtId="2" fontId="8" fillId="0" borderId="1" xfId="0" applyNumberFormat="1" applyFont="1" applyBorder="1" applyAlignment="1">
      <alignment horizontal="center"/>
    </xf>
    <xf numFmtId="0" fontId="8" fillId="0" borderId="1" xfId="0" applyFont="1" applyBorder="1"/>
    <xf numFmtId="0" fontId="3" fillId="0" borderId="1" xfId="0" applyFont="1" applyBorder="1" applyAlignment="1">
      <alignment horizontal="center" vertical="center"/>
    </xf>
    <xf numFmtId="6" fontId="3" fillId="3" borderId="1" xfId="0" applyNumberFormat="1" applyFont="1" applyFill="1" applyBorder="1" applyAlignment="1">
      <alignment horizontal="center" vertical="center"/>
    </xf>
    <xf numFmtId="0" fontId="3" fillId="5" borderId="1" xfId="0" applyFont="1" applyFill="1" applyBorder="1" applyAlignment="1">
      <alignment horizontal="center" vertical="center"/>
    </xf>
    <xf numFmtId="0" fontId="3" fillId="0" borderId="1" xfId="0" applyFont="1" applyBorder="1" applyAlignment="1">
      <alignment horizontal="center" vertical="center"/>
    </xf>
    <xf numFmtId="8"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xf>
    <xf numFmtId="0" fontId="0" fillId="0" borderId="1" xfId="0"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wrapText="1"/>
    </xf>
    <xf numFmtId="8" fontId="8" fillId="3" borderId="1" xfId="0" applyNumberFormat="1" applyFont="1" applyFill="1" applyBorder="1" applyAlignment="1">
      <alignment horizontal="center"/>
    </xf>
    <xf numFmtId="0" fontId="5" fillId="3" borderId="3" xfId="0" applyFont="1" applyFill="1" applyBorder="1" applyAlignment="1">
      <alignment horizontal="center"/>
    </xf>
    <xf numFmtId="0" fontId="6" fillId="4" borderId="2"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xf numFmtId="0" fontId="3" fillId="2" borderId="1" xfId="0" applyFont="1" applyFill="1" applyBorder="1" applyAlignment="1">
      <alignment horizontal="center"/>
    </xf>
    <xf numFmtId="0" fontId="7" fillId="0" borderId="1" xfId="0" applyFont="1" applyBorder="1" applyAlignment="1">
      <alignment horizontal="center"/>
    </xf>
    <xf numFmtId="44" fontId="7" fillId="0" borderId="2" xfId="2" applyFont="1" applyBorder="1" applyAlignment="1">
      <alignment horizontal="center" vertical="center"/>
    </xf>
    <xf numFmtId="44" fontId="7" fillId="0" borderId="4" xfId="2" applyFont="1" applyBorder="1" applyAlignment="1">
      <alignment horizontal="center" vertical="center"/>
    </xf>
    <xf numFmtId="44" fontId="7" fillId="0" borderId="5" xfId="2" applyFont="1" applyBorder="1" applyAlignment="1">
      <alignment horizontal="center" vertical="center"/>
    </xf>
    <xf numFmtId="8" fontId="8" fillId="0" borderId="1" xfId="0" applyNumberFormat="1" applyFont="1" applyBorder="1" applyAlignment="1">
      <alignment horizontal="center"/>
    </xf>
    <xf numFmtId="0" fontId="8" fillId="0" borderId="1" xfId="0" applyFont="1" applyBorder="1" applyAlignment="1">
      <alignment horizontal="center"/>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5</xdr:col>
      <xdr:colOff>111204</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B5:O90"/>
  <sheetViews>
    <sheetView tabSelected="1" topLeftCell="B1" zoomScale="90" zoomScaleNormal="90" workbookViewId="0">
      <selection activeCell="B18" sqref="B18"/>
    </sheetView>
  </sheetViews>
  <sheetFormatPr baseColWidth="10" defaultColWidth="11.42578125" defaultRowHeight="15" x14ac:dyDescent="0.25"/>
  <cols>
    <col min="1" max="1" width="4.140625" customWidth="1"/>
    <col min="2" max="2" width="24.7109375" customWidth="1"/>
    <col min="3" max="3" width="16.42578125" style="6" customWidth="1"/>
    <col min="4" max="4" width="19.140625" style="6" bestFit="1" customWidth="1"/>
    <col min="5" max="5" width="23.85546875" style="6" bestFit="1" customWidth="1"/>
    <col min="6" max="6" width="22.7109375" style="6" bestFit="1" customWidth="1"/>
    <col min="7" max="7" width="18.85546875" style="6" customWidth="1"/>
    <col min="8" max="8" width="20.28515625" style="6" bestFit="1" customWidth="1"/>
    <col min="9" max="9" width="18.28515625" customWidth="1"/>
    <col min="10" max="10" width="11.5703125" customWidth="1"/>
    <col min="11" max="11" width="19.140625" bestFit="1" customWidth="1"/>
    <col min="12" max="12" width="22.5703125" bestFit="1" customWidth="1"/>
    <col min="13" max="13" width="23" bestFit="1" customWidth="1"/>
    <col min="14" max="14" width="18.85546875" bestFit="1" customWidth="1"/>
    <col min="15" max="15" width="20.28515625" bestFit="1" customWidth="1"/>
  </cols>
  <sheetData>
    <row r="5" spans="2:13" s="6" customFormat="1" ht="15" customHeight="1" thickBot="1" x14ac:dyDescent="0.3">
      <c r="B5"/>
      <c r="C5" s="14"/>
      <c r="D5" s="14"/>
      <c r="E5" s="14"/>
      <c r="F5" s="14"/>
      <c r="G5" s="14"/>
    </row>
    <row r="6" spans="2:13" x14ac:dyDescent="0.25">
      <c r="C6" s="36" t="s">
        <v>0</v>
      </c>
      <c r="D6" s="36"/>
      <c r="E6" s="36"/>
      <c r="F6" s="36"/>
      <c r="G6" s="36"/>
    </row>
    <row r="7" spans="2:13" ht="15" customHeight="1" x14ac:dyDescent="0.25">
      <c r="B7" s="32" t="s">
        <v>32</v>
      </c>
      <c r="C7" s="1" t="s">
        <v>1</v>
      </c>
      <c r="D7" s="1" t="s">
        <v>2</v>
      </c>
      <c r="E7" s="1" t="s">
        <v>3</v>
      </c>
      <c r="F7" s="1" t="s">
        <v>4</v>
      </c>
      <c r="G7" s="8" t="s">
        <v>5</v>
      </c>
    </row>
    <row r="8" spans="2:13" ht="15" customHeight="1" x14ac:dyDescent="0.25">
      <c r="B8" s="32"/>
      <c r="C8" s="9">
        <v>43349</v>
      </c>
      <c r="D8" s="9">
        <v>43465</v>
      </c>
      <c r="E8" s="10">
        <v>781242</v>
      </c>
      <c r="F8" s="3">
        <f>DAYS360(C8,D8)</f>
        <v>115</v>
      </c>
      <c r="G8" s="4">
        <f>(E8/30)*F8</f>
        <v>2994761</v>
      </c>
      <c r="I8" s="33" t="s">
        <v>27</v>
      </c>
      <c r="J8" s="33"/>
      <c r="K8" s="33"/>
    </row>
    <row r="9" spans="2:13" x14ac:dyDescent="0.25">
      <c r="B9" s="32"/>
      <c r="C9" s="9">
        <v>43466</v>
      </c>
      <c r="D9" s="9">
        <v>43830</v>
      </c>
      <c r="E9" s="10">
        <v>828116</v>
      </c>
      <c r="F9" s="3">
        <f>DAYS360(C9,D9)</f>
        <v>360</v>
      </c>
      <c r="G9" s="4">
        <f t="shared" ref="G9:G14" si="0">(E9/30)*F9</f>
        <v>9937392</v>
      </c>
      <c r="I9" s="33"/>
      <c r="J9" s="33"/>
      <c r="K9" s="33"/>
    </row>
    <row r="10" spans="2:13" x14ac:dyDescent="0.25">
      <c r="B10" s="32"/>
      <c r="C10" s="9">
        <v>43831</v>
      </c>
      <c r="D10" s="9">
        <v>44196</v>
      </c>
      <c r="E10" s="10">
        <v>877803</v>
      </c>
      <c r="F10" s="3">
        <f t="shared" ref="F10:F13" si="1">DAYS360(C10,D10)</f>
        <v>360</v>
      </c>
      <c r="G10" s="4">
        <f t="shared" si="0"/>
        <v>10533636</v>
      </c>
      <c r="I10" s="33"/>
      <c r="J10" s="33"/>
      <c r="K10" s="33"/>
    </row>
    <row r="11" spans="2:13" x14ac:dyDescent="0.25">
      <c r="B11" s="32"/>
      <c r="C11" s="9">
        <v>44197</v>
      </c>
      <c r="D11" s="9">
        <v>44561</v>
      </c>
      <c r="E11" s="10">
        <v>908526</v>
      </c>
      <c r="F11" s="3">
        <f t="shared" si="1"/>
        <v>360</v>
      </c>
      <c r="G11" s="4">
        <f t="shared" si="0"/>
        <v>10902312</v>
      </c>
      <c r="I11" s="33"/>
      <c r="J11" s="33"/>
      <c r="K11" s="33"/>
    </row>
    <row r="12" spans="2:13" x14ac:dyDescent="0.25">
      <c r="B12" s="32"/>
      <c r="C12" s="9">
        <v>44562</v>
      </c>
      <c r="D12" s="9">
        <v>44926</v>
      </c>
      <c r="E12" s="10">
        <v>1000000</v>
      </c>
      <c r="F12" s="3">
        <f t="shared" si="1"/>
        <v>360</v>
      </c>
      <c r="G12" s="4">
        <f t="shared" si="0"/>
        <v>12000000</v>
      </c>
      <c r="I12" s="33"/>
      <c r="J12" s="33"/>
      <c r="K12" s="33"/>
      <c r="M12" t="s">
        <v>6</v>
      </c>
    </row>
    <row r="13" spans="2:13" x14ac:dyDescent="0.25">
      <c r="B13" s="32"/>
      <c r="C13" s="9">
        <v>44927</v>
      </c>
      <c r="D13" s="9">
        <v>45291</v>
      </c>
      <c r="E13" s="10">
        <v>1160000</v>
      </c>
      <c r="F13" s="3">
        <f t="shared" si="1"/>
        <v>360</v>
      </c>
      <c r="G13" s="4">
        <f t="shared" si="0"/>
        <v>13920000</v>
      </c>
      <c r="I13" s="33"/>
      <c r="J13" s="33"/>
      <c r="K13" s="33"/>
    </row>
    <row r="14" spans="2:13" x14ac:dyDescent="0.25">
      <c r="B14" s="32"/>
      <c r="C14" s="9">
        <v>45292</v>
      </c>
      <c r="D14" s="9">
        <v>45473</v>
      </c>
      <c r="E14" s="10">
        <v>1300000</v>
      </c>
      <c r="F14" s="3">
        <f>DAYS360(C14,D14)+1</f>
        <v>180</v>
      </c>
      <c r="G14" s="4">
        <f t="shared" si="0"/>
        <v>7800000</v>
      </c>
      <c r="I14" s="33"/>
      <c r="J14" s="33"/>
      <c r="K14" s="33"/>
    </row>
    <row r="15" spans="2:13" x14ac:dyDescent="0.25">
      <c r="B15" s="32"/>
      <c r="C15" s="31" t="s">
        <v>7</v>
      </c>
      <c r="D15" s="31"/>
      <c r="E15" s="31"/>
      <c r="F15" s="31"/>
      <c r="G15" s="11">
        <f>SUM(G8:G14)</f>
        <v>68088101</v>
      </c>
      <c r="I15" s="33"/>
      <c r="J15" s="33"/>
      <c r="K15" s="33"/>
    </row>
    <row r="16" spans="2:13" x14ac:dyDescent="0.25">
      <c r="B16" s="32"/>
      <c r="I16" s="33"/>
      <c r="J16" s="33"/>
      <c r="K16" s="33"/>
    </row>
    <row r="17" spans="2:11" x14ac:dyDescent="0.25">
      <c r="B17" s="32"/>
      <c r="C17" s="1" t="s">
        <v>1</v>
      </c>
      <c r="D17" s="1" t="s">
        <v>2</v>
      </c>
      <c r="E17" s="1" t="s">
        <v>3</v>
      </c>
      <c r="F17" s="1" t="s">
        <v>4</v>
      </c>
      <c r="G17" s="2" t="s">
        <v>8</v>
      </c>
    </row>
    <row r="18" spans="2:11" ht="15" customHeight="1" x14ac:dyDescent="0.25">
      <c r="C18" s="9">
        <v>43349</v>
      </c>
      <c r="D18" s="9">
        <v>43465</v>
      </c>
      <c r="E18" s="10">
        <v>869453</v>
      </c>
      <c r="F18" s="3">
        <f>DAYS360(C18,D18)</f>
        <v>115</v>
      </c>
      <c r="G18" s="4">
        <f>(E18*F18)/360</f>
        <v>277741.93055555556</v>
      </c>
      <c r="I18" s="34" t="s">
        <v>26</v>
      </c>
      <c r="J18" s="34"/>
      <c r="K18" s="34"/>
    </row>
    <row r="19" spans="2:11" x14ac:dyDescent="0.25">
      <c r="C19" s="9">
        <v>43466</v>
      </c>
      <c r="D19" s="9">
        <v>43830</v>
      </c>
      <c r="E19" s="10">
        <v>925148</v>
      </c>
      <c r="F19" s="3">
        <f>DAYS360(C19,D19)</f>
        <v>360</v>
      </c>
      <c r="G19" s="4">
        <f t="shared" ref="G19:G24" si="2">(E19*F19)/360</f>
        <v>925148</v>
      </c>
      <c r="I19" s="34"/>
      <c r="J19" s="34"/>
      <c r="K19" s="34"/>
    </row>
    <row r="20" spans="2:11" x14ac:dyDescent="0.25">
      <c r="C20" s="9">
        <v>43831</v>
      </c>
      <c r="D20" s="9">
        <v>44196</v>
      </c>
      <c r="E20" s="10">
        <v>980657</v>
      </c>
      <c r="F20" s="3">
        <f t="shared" ref="F20:F23" si="3">DAYS360(C20,D20)</f>
        <v>360</v>
      </c>
      <c r="G20" s="4">
        <f t="shared" si="2"/>
        <v>980657</v>
      </c>
      <c r="I20" s="34"/>
      <c r="J20" s="34"/>
      <c r="K20" s="34"/>
    </row>
    <row r="21" spans="2:11" x14ac:dyDescent="0.25">
      <c r="C21" s="9">
        <v>44197</v>
      </c>
      <c r="D21" s="9">
        <v>44561</v>
      </c>
      <c r="E21" s="10">
        <v>1014980</v>
      </c>
      <c r="F21" s="3">
        <f t="shared" si="3"/>
        <v>360</v>
      </c>
      <c r="G21" s="4">
        <f t="shared" si="2"/>
        <v>1014980</v>
      </c>
      <c r="I21" s="34"/>
      <c r="J21" s="34"/>
      <c r="K21" s="34"/>
    </row>
    <row r="22" spans="2:11" x14ac:dyDescent="0.25">
      <c r="C22" s="9">
        <v>44562</v>
      </c>
      <c r="D22" s="9">
        <v>44926</v>
      </c>
      <c r="E22" s="10">
        <v>1117172</v>
      </c>
      <c r="F22" s="3">
        <f t="shared" si="3"/>
        <v>360</v>
      </c>
      <c r="G22" s="4">
        <f t="shared" si="2"/>
        <v>1117172</v>
      </c>
      <c r="I22" s="34"/>
      <c r="J22" s="34"/>
      <c r="K22" s="34"/>
    </row>
    <row r="23" spans="2:11" x14ac:dyDescent="0.25">
      <c r="C23" s="9">
        <v>44927</v>
      </c>
      <c r="D23" s="9">
        <v>45291</v>
      </c>
      <c r="E23" s="10">
        <v>1300606</v>
      </c>
      <c r="F23" s="3">
        <f t="shared" si="3"/>
        <v>360</v>
      </c>
      <c r="G23" s="4">
        <f t="shared" si="2"/>
        <v>1300606</v>
      </c>
      <c r="I23" s="34"/>
      <c r="J23" s="34"/>
      <c r="K23" s="34"/>
    </row>
    <row r="24" spans="2:11" x14ac:dyDescent="0.25">
      <c r="C24" s="9">
        <v>45292</v>
      </c>
      <c r="D24" s="9">
        <v>45473</v>
      </c>
      <c r="E24" s="10">
        <v>1462000</v>
      </c>
      <c r="F24" s="3">
        <f>DAYS360(C24,D24)+1</f>
        <v>180</v>
      </c>
      <c r="G24" s="4">
        <f t="shared" si="2"/>
        <v>731000</v>
      </c>
      <c r="I24" s="34"/>
      <c r="J24" s="34"/>
      <c r="K24" s="34"/>
    </row>
    <row r="25" spans="2:11" x14ac:dyDescent="0.25">
      <c r="C25" s="31" t="s">
        <v>7</v>
      </c>
      <c r="D25" s="31"/>
      <c r="E25" s="31"/>
      <c r="F25" s="31"/>
      <c r="G25" s="5">
        <f>SUM(G18:G24)</f>
        <v>6347304.930555556</v>
      </c>
    </row>
    <row r="27" spans="2:11" x14ac:dyDescent="0.25">
      <c r="C27" s="1" t="s">
        <v>1</v>
      </c>
      <c r="D27" s="1" t="s">
        <v>2</v>
      </c>
      <c r="E27" s="1" t="s">
        <v>3</v>
      </c>
      <c r="F27" s="1" t="s">
        <v>4</v>
      </c>
      <c r="G27" s="2" t="s">
        <v>9</v>
      </c>
    </row>
    <row r="28" spans="2:11" x14ac:dyDescent="0.25">
      <c r="C28" s="9">
        <v>43349</v>
      </c>
      <c r="D28" s="9">
        <v>43465</v>
      </c>
      <c r="E28" s="10">
        <v>869453</v>
      </c>
      <c r="F28" s="3">
        <f>DAYS360(C28,D28)</f>
        <v>115</v>
      </c>
      <c r="G28" s="4">
        <f>(E28*F28)/360</f>
        <v>277741.93055555556</v>
      </c>
    </row>
    <row r="29" spans="2:11" x14ac:dyDescent="0.25">
      <c r="C29" s="9">
        <v>43466</v>
      </c>
      <c r="D29" s="9">
        <v>43830</v>
      </c>
      <c r="E29" s="10">
        <v>925148</v>
      </c>
      <c r="F29" s="3">
        <f>DAYS360(C29,D29)</f>
        <v>360</v>
      </c>
      <c r="G29" s="4">
        <f t="shared" ref="G29:G34" si="4">(E29*F29)/360</f>
        <v>925148</v>
      </c>
    </row>
    <row r="30" spans="2:11" ht="15.75" customHeight="1" x14ac:dyDescent="0.25">
      <c r="C30" s="9">
        <v>43831</v>
      </c>
      <c r="D30" s="9">
        <v>44196</v>
      </c>
      <c r="E30" s="10">
        <v>980657</v>
      </c>
      <c r="F30" s="3">
        <f t="shared" ref="F30:F33" si="5">DAYS360(C30,D30)</f>
        <v>360</v>
      </c>
      <c r="G30" s="4">
        <f t="shared" si="4"/>
        <v>980657</v>
      </c>
    </row>
    <row r="31" spans="2:11" ht="15.75" customHeight="1" x14ac:dyDescent="0.25">
      <c r="C31" s="9">
        <v>44197</v>
      </c>
      <c r="D31" s="9">
        <v>44561</v>
      </c>
      <c r="E31" s="10">
        <v>1014980</v>
      </c>
      <c r="F31" s="3">
        <f t="shared" si="5"/>
        <v>360</v>
      </c>
      <c r="G31" s="4">
        <f t="shared" si="4"/>
        <v>1014980</v>
      </c>
    </row>
    <row r="32" spans="2:11" ht="15.75" customHeight="1" x14ac:dyDescent="0.25">
      <c r="C32" s="9">
        <v>44562</v>
      </c>
      <c r="D32" s="9">
        <v>44926</v>
      </c>
      <c r="E32" s="10">
        <v>1117172</v>
      </c>
      <c r="F32" s="3">
        <f t="shared" si="5"/>
        <v>360</v>
      </c>
      <c r="G32" s="4">
        <f t="shared" si="4"/>
        <v>1117172</v>
      </c>
    </row>
    <row r="33" spans="3:15" ht="15.75" customHeight="1" x14ac:dyDescent="0.25">
      <c r="C33" s="9">
        <v>44927</v>
      </c>
      <c r="D33" s="9">
        <v>45291</v>
      </c>
      <c r="E33" s="10">
        <v>1300606</v>
      </c>
      <c r="F33" s="3">
        <f t="shared" si="5"/>
        <v>360</v>
      </c>
      <c r="G33" s="4">
        <f t="shared" si="4"/>
        <v>1300606</v>
      </c>
    </row>
    <row r="34" spans="3:15" ht="15.75" customHeight="1" x14ac:dyDescent="0.25">
      <c r="C34" s="9">
        <v>45292</v>
      </c>
      <c r="D34" s="9">
        <v>45473</v>
      </c>
      <c r="E34" s="10">
        <v>1462000</v>
      </c>
      <c r="F34" s="3">
        <f>DAYS360(C34,D34)+1</f>
        <v>180</v>
      </c>
      <c r="G34" s="4">
        <f t="shared" si="4"/>
        <v>731000</v>
      </c>
    </row>
    <row r="35" spans="3:15" ht="15.75" customHeight="1" x14ac:dyDescent="0.25">
      <c r="C35" s="31" t="s">
        <v>7</v>
      </c>
      <c r="D35" s="31"/>
      <c r="E35" s="31"/>
      <c r="F35" s="31"/>
      <c r="G35" s="5">
        <f>SUM(G28:G34)</f>
        <v>6347304.930555556</v>
      </c>
      <c r="O35" s="6"/>
    </row>
    <row r="36" spans="3:15" ht="15.75" customHeight="1" x14ac:dyDescent="0.25">
      <c r="O36" s="6"/>
    </row>
    <row r="37" spans="3:15" ht="15.75" customHeight="1" x14ac:dyDescent="0.25">
      <c r="C37" s="1" t="s">
        <v>1</v>
      </c>
      <c r="D37" s="1" t="s">
        <v>2</v>
      </c>
      <c r="E37" s="1" t="s">
        <v>9</v>
      </c>
      <c r="F37" s="1" t="s">
        <v>4</v>
      </c>
      <c r="G37" s="2" t="s">
        <v>10</v>
      </c>
      <c r="O37" s="6"/>
    </row>
    <row r="38" spans="3:15" ht="15.75" customHeight="1" x14ac:dyDescent="0.25">
      <c r="C38" s="9">
        <v>43349</v>
      </c>
      <c r="D38" s="9">
        <v>43465</v>
      </c>
      <c r="E38" s="7">
        <f t="shared" ref="E38:E44" si="6">+G28</f>
        <v>277741.93055555556</v>
      </c>
      <c r="F38" s="3">
        <f>DAYS360(C38,D38)</f>
        <v>115</v>
      </c>
      <c r="G38" s="3">
        <f>(E38*F38*0.12)/360</f>
        <v>10646.774004629629</v>
      </c>
      <c r="O38" s="6"/>
    </row>
    <row r="39" spans="3:15" ht="15.75" customHeight="1" x14ac:dyDescent="0.25">
      <c r="C39" s="9">
        <v>43466</v>
      </c>
      <c r="D39" s="9">
        <v>43830</v>
      </c>
      <c r="E39" s="7">
        <f t="shared" si="6"/>
        <v>925148</v>
      </c>
      <c r="F39" s="3">
        <f>DAYS360(C39,D39)</f>
        <v>360</v>
      </c>
      <c r="G39" s="3">
        <f t="shared" ref="G39:G44" si="7">(E39*F39*0.12)/360</f>
        <v>111017.76000000001</v>
      </c>
      <c r="O39" s="6"/>
    </row>
    <row r="40" spans="3:15" ht="15.75" customHeight="1" x14ac:dyDescent="0.25">
      <c r="C40" s="9">
        <v>43831</v>
      </c>
      <c r="D40" s="9">
        <v>44196</v>
      </c>
      <c r="E40" s="7">
        <f t="shared" si="6"/>
        <v>980657</v>
      </c>
      <c r="F40" s="3">
        <f t="shared" ref="F40:F43" si="8">DAYS360(C40,D40)</f>
        <v>360</v>
      </c>
      <c r="G40" s="3">
        <f t="shared" si="7"/>
        <v>117678.84</v>
      </c>
    </row>
    <row r="41" spans="3:15" ht="15.75" customHeight="1" x14ac:dyDescent="0.25">
      <c r="C41" s="9">
        <v>44197</v>
      </c>
      <c r="D41" s="9">
        <v>44561</v>
      </c>
      <c r="E41" s="7">
        <f t="shared" si="6"/>
        <v>1014980</v>
      </c>
      <c r="F41" s="3">
        <f t="shared" si="8"/>
        <v>360</v>
      </c>
      <c r="G41" s="3">
        <f t="shared" si="7"/>
        <v>121797.6</v>
      </c>
    </row>
    <row r="42" spans="3:15" ht="15.75" customHeight="1" x14ac:dyDescent="0.25">
      <c r="C42" s="9">
        <v>44562</v>
      </c>
      <c r="D42" s="9">
        <v>44926</v>
      </c>
      <c r="E42" s="7">
        <f t="shared" si="6"/>
        <v>1117172</v>
      </c>
      <c r="F42" s="3">
        <f t="shared" si="8"/>
        <v>360</v>
      </c>
      <c r="G42" s="3">
        <f t="shared" si="7"/>
        <v>134060.63999999998</v>
      </c>
    </row>
    <row r="43" spans="3:15" ht="15.75" customHeight="1" x14ac:dyDescent="0.25">
      <c r="C43" s="9">
        <v>44927</v>
      </c>
      <c r="D43" s="9">
        <v>45291</v>
      </c>
      <c r="E43" s="7">
        <f t="shared" si="6"/>
        <v>1300606</v>
      </c>
      <c r="F43" s="3">
        <f t="shared" si="8"/>
        <v>360</v>
      </c>
      <c r="G43" s="3">
        <f t="shared" si="7"/>
        <v>156072.72</v>
      </c>
    </row>
    <row r="44" spans="3:15" ht="15.75" customHeight="1" x14ac:dyDescent="0.25">
      <c r="C44" s="9">
        <v>45292</v>
      </c>
      <c r="D44" s="9">
        <v>45473</v>
      </c>
      <c r="E44" s="7">
        <f t="shared" si="6"/>
        <v>731000</v>
      </c>
      <c r="F44" s="3">
        <f>DAYS360(C44,D44)+1</f>
        <v>180</v>
      </c>
      <c r="G44" s="3">
        <f t="shared" si="7"/>
        <v>43860</v>
      </c>
    </row>
    <row r="45" spans="3:15" ht="15.75" customHeight="1" x14ac:dyDescent="0.25">
      <c r="C45" s="31" t="s">
        <v>7</v>
      </c>
      <c r="D45" s="31"/>
      <c r="E45" s="31"/>
      <c r="F45" s="31"/>
      <c r="G45" s="5">
        <f>SUM(G38:G44)</f>
        <v>695134.33400462964</v>
      </c>
    </row>
    <row r="46" spans="3:15" ht="15.75" customHeight="1" x14ac:dyDescent="0.25"/>
    <row r="47" spans="3:15" ht="15.75" customHeight="1" x14ac:dyDescent="0.25">
      <c r="C47" s="40" t="s">
        <v>11</v>
      </c>
      <c r="D47" s="40"/>
      <c r="E47" s="40"/>
      <c r="F47" s="40"/>
      <c r="G47" s="40"/>
      <c r="H47" s="40"/>
      <c r="I47" s="40"/>
    </row>
    <row r="48" spans="3:15" ht="15.75" customHeight="1" x14ac:dyDescent="0.25">
      <c r="C48" s="15"/>
      <c r="D48" s="15"/>
      <c r="E48" s="16" t="s">
        <v>12</v>
      </c>
      <c r="F48" s="16" t="s">
        <v>13</v>
      </c>
      <c r="G48" s="16" t="s">
        <v>14</v>
      </c>
      <c r="H48" s="17" t="s">
        <v>15</v>
      </c>
      <c r="I48" s="17"/>
    </row>
    <row r="49" spans="3:9" ht="15.75" customHeight="1" x14ac:dyDescent="0.25">
      <c r="C49" s="41" t="s">
        <v>16</v>
      </c>
      <c r="D49" s="41"/>
      <c r="E49" s="18">
        <v>2018</v>
      </c>
      <c r="F49" s="18">
        <v>2</v>
      </c>
      <c r="G49" s="18">
        <v>24</v>
      </c>
      <c r="H49" s="19" t="s">
        <v>17</v>
      </c>
      <c r="I49" s="20" t="s">
        <v>18</v>
      </c>
    </row>
    <row r="50" spans="3:9" ht="15.75" customHeight="1" x14ac:dyDescent="0.25">
      <c r="C50" s="41" t="s">
        <v>19</v>
      </c>
      <c r="D50" s="41"/>
      <c r="E50" s="18">
        <v>2018</v>
      </c>
      <c r="F50" s="18">
        <v>9</v>
      </c>
      <c r="G50" s="18">
        <v>5</v>
      </c>
      <c r="H50" s="21">
        <f>(E49-E50)*360+(F49-F50)*30+(G49-G50+1)</f>
        <v>-190</v>
      </c>
      <c r="I50" s="22">
        <f>H50/360</f>
        <v>-0.52777777777777779</v>
      </c>
    </row>
    <row r="51" spans="3:9" ht="15.75" customHeight="1" x14ac:dyDescent="0.25">
      <c r="C51" s="41" t="s">
        <v>20</v>
      </c>
      <c r="D51" s="41"/>
      <c r="E51" s="42">
        <v>781242</v>
      </c>
      <c r="F51" s="43"/>
      <c r="G51" s="43"/>
      <c r="H51" s="43"/>
      <c r="I51" s="44"/>
    </row>
    <row r="52" spans="3:9" ht="15.75" customHeight="1" x14ac:dyDescent="0.25">
      <c r="C52" s="41" t="s">
        <v>21</v>
      </c>
      <c r="D52" s="41"/>
      <c r="E52" s="45">
        <f>E51/30</f>
        <v>26041.4</v>
      </c>
      <c r="F52" s="45"/>
      <c r="G52" s="45"/>
      <c r="H52" s="45"/>
      <c r="I52" s="45"/>
    </row>
    <row r="53" spans="3:9" ht="15.75" customHeight="1" x14ac:dyDescent="0.25">
      <c r="C53" s="41" t="s">
        <v>22</v>
      </c>
      <c r="D53" s="41"/>
      <c r="E53" s="45">
        <f>E51</f>
        <v>781242</v>
      </c>
      <c r="F53" s="45"/>
      <c r="G53" s="45"/>
      <c r="H53" s="45"/>
      <c r="I53" s="45"/>
    </row>
    <row r="54" spans="3:9" ht="15.75" customHeight="1" x14ac:dyDescent="0.25">
      <c r="C54" s="41" t="s">
        <v>23</v>
      </c>
      <c r="D54" s="41"/>
      <c r="E54" s="23"/>
      <c r="F54" s="45">
        <f>E54*20*E52</f>
        <v>0</v>
      </c>
      <c r="G54" s="45"/>
      <c r="H54" s="45"/>
      <c r="I54" s="45"/>
    </row>
    <row r="55" spans="3:9" ht="15.75" customHeight="1" x14ac:dyDescent="0.25">
      <c r="C55" s="46" t="s">
        <v>24</v>
      </c>
      <c r="D55" s="46"/>
      <c r="E55" s="24"/>
      <c r="F55" s="35">
        <f>E53+F54</f>
        <v>781242</v>
      </c>
      <c r="G55" s="35"/>
      <c r="H55" s="35"/>
      <c r="I55" s="35"/>
    </row>
    <row r="56" spans="3:9" ht="15.75" customHeight="1" x14ac:dyDescent="0.25">
      <c r="C56" s="12"/>
      <c r="D56" s="12"/>
      <c r="E56" s="12"/>
      <c r="F56" s="12"/>
      <c r="G56" s="12"/>
    </row>
    <row r="57" spans="3:9" ht="15.75" customHeight="1" x14ac:dyDescent="0.25">
      <c r="C57" s="27" t="s">
        <v>28</v>
      </c>
      <c r="D57" s="27"/>
      <c r="E57" s="27"/>
      <c r="F57" s="27"/>
      <c r="G57" s="27"/>
    </row>
    <row r="58" spans="3:9" ht="15.75" customHeight="1" x14ac:dyDescent="0.25">
      <c r="C58" s="28" t="s">
        <v>29</v>
      </c>
      <c r="D58" s="28"/>
      <c r="E58" s="28" t="s">
        <v>30</v>
      </c>
      <c r="F58" s="28"/>
      <c r="G58" s="25" t="s">
        <v>31</v>
      </c>
    </row>
    <row r="59" spans="3:9" ht="15.75" customHeight="1" x14ac:dyDescent="0.25">
      <c r="C59" s="29">
        <f>+E52</f>
        <v>26041.4</v>
      </c>
      <c r="D59" s="29"/>
      <c r="E59" s="30">
        <v>180</v>
      </c>
      <c r="F59" s="30"/>
      <c r="G59" s="26">
        <f>C59*E59</f>
        <v>4687452</v>
      </c>
    </row>
    <row r="60" spans="3:9" ht="15.75" customHeight="1" x14ac:dyDescent="0.25"/>
    <row r="61" spans="3:9" ht="15.75" customHeight="1" x14ac:dyDescent="0.25">
      <c r="C61" s="37" t="s">
        <v>25</v>
      </c>
      <c r="D61" s="38"/>
      <c r="E61" s="38"/>
      <c r="F61" s="39"/>
      <c r="G61" s="13">
        <f>F55+G45+G35+G25+G15+G59</f>
        <v>86946539.195115745</v>
      </c>
    </row>
    <row r="62" spans="3:9" ht="15.75" customHeight="1" x14ac:dyDescent="0.25"/>
    <row r="63" spans="3:9" ht="15.75" customHeight="1" x14ac:dyDescent="0.25"/>
    <row r="64" spans="3:9"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85" ht="15" customHeight="1" x14ac:dyDescent="0.25"/>
    <row r="90" ht="51" customHeight="1" x14ac:dyDescent="0.25"/>
  </sheetData>
  <mergeCells count="27">
    <mergeCell ref="F55:I55"/>
    <mergeCell ref="C6:G6"/>
    <mergeCell ref="C45:F45"/>
    <mergeCell ref="C61:F61"/>
    <mergeCell ref="C47:I47"/>
    <mergeCell ref="C49:D49"/>
    <mergeCell ref="C50:D50"/>
    <mergeCell ref="C51:D51"/>
    <mergeCell ref="E51:I51"/>
    <mergeCell ref="C52:D52"/>
    <mergeCell ref="E52:I52"/>
    <mergeCell ref="C53:D53"/>
    <mergeCell ref="E53:I53"/>
    <mergeCell ref="C54:D54"/>
    <mergeCell ref="F54:I54"/>
    <mergeCell ref="C55:D55"/>
    <mergeCell ref="C35:F35"/>
    <mergeCell ref="C15:F15"/>
    <mergeCell ref="B7:B17"/>
    <mergeCell ref="C25:F25"/>
    <mergeCell ref="I8:K16"/>
    <mergeCell ref="I18:K24"/>
    <mergeCell ref="C57:G57"/>
    <mergeCell ref="C58:D58"/>
    <mergeCell ref="E58:F58"/>
    <mergeCell ref="C59:D59"/>
    <mergeCell ref="E59:F5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2024-07-04T21:29:36Z</dcterms:modified>
  <cp:category/>
  <cp:contentStatus/>
</cp:coreProperties>
</file>