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13_ncr:1_{50E74133-8B42-43FC-94DB-CE3E99BD369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Q. PRETENSIONES DEMANDA" sheetId="10" r:id="rId1"/>
    <sheet name="LIQ. FACTURACIÓN (GU136799)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1" l="1"/>
  <c r="F41" i="11" s="1"/>
  <c r="E35" i="11"/>
  <c r="E34" i="11"/>
  <c r="H32" i="11"/>
  <c r="I32" i="11" s="1"/>
  <c r="E36" i="11" s="1"/>
  <c r="F36" i="11" s="1"/>
  <c r="E26" i="11"/>
  <c r="E25" i="11"/>
  <c r="E24" i="11"/>
  <c r="E23" i="11"/>
  <c r="E19" i="11"/>
  <c r="F19" i="11" s="1"/>
  <c r="D26" i="11" s="1"/>
  <c r="F26" i="11" s="1"/>
  <c r="E18" i="11"/>
  <c r="F18" i="11" s="1"/>
  <c r="D25" i="11" s="1"/>
  <c r="F25" i="11" s="1"/>
  <c r="E17" i="11"/>
  <c r="F17" i="11" s="1"/>
  <c r="D24" i="11" s="1"/>
  <c r="F24" i="11" s="1"/>
  <c r="E16" i="11"/>
  <c r="F16" i="11" s="1"/>
  <c r="E12" i="11"/>
  <c r="F12" i="11" s="1"/>
  <c r="E11" i="11"/>
  <c r="F11" i="11" s="1"/>
  <c r="E10" i="11"/>
  <c r="F10" i="11" s="1"/>
  <c r="E9" i="11"/>
  <c r="F9" i="11" s="1"/>
  <c r="F13" i="11" s="1"/>
  <c r="E5" i="11"/>
  <c r="F5" i="11" s="1"/>
  <c r="E4" i="11"/>
  <c r="F4" i="11" s="1"/>
  <c r="E3" i="11"/>
  <c r="F3" i="11" s="1"/>
  <c r="F6" i="11" s="1"/>
  <c r="F37" i="11" l="1"/>
  <c r="D23" i="11"/>
  <c r="F23" i="11" s="1"/>
  <c r="F27" i="11" s="1"/>
  <c r="F20" i="11"/>
  <c r="F43" i="11" l="1"/>
  <c r="B57" i="10"/>
  <c r="E50" i="10"/>
  <c r="E49" i="10"/>
  <c r="H47" i="10"/>
  <c r="I47" i="10" s="1"/>
  <c r="E51" i="10" s="1"/>
  <c r="E30" i="10"/>
  <c r="E29" i="10"/>
  <c r="E28" i="10"/>
  <c r="E23" i="10"/>
  <c r="F23" i="10" s="1"/>
  <c r="D30" i="10" s="1"/>
  <c r="E22" i="10"/>
  <c r="F22" i="10" s="1"/>
  <c r="D29" i="10" s="1"/>
  <c r="E21" i="10"/>
  <c r="F21" i="10" s="1"/>
  <c r="D28" i="10" s="1"/>
  <c r="E16" i="10"/>
  <c r="F16" i="10" s="1"/>
  <c r="E15" i="10"/>
  <c r="F15" i="10" s="1"/>
  <c r="E14" i="10"/>
  <c r="F14" i="10" s="1"/>
  <c r="E9" i="10"/>
  <c r="F9" i="10" s="1"/>
  <c r="E8" i="10"/>
  <c r="F8" i="10" s="1"/>
  <c r="E7" i="10"/>
  <c r="F7" i="10" s="1"/>
  <c r="F30" i="10" l="1"/>
  <c r="F29" i="10"/>
  <c r="F28" i="10"/>
  <c r="F51" i="10"/>
  <c r="F52" i="10" s="1"/>
  <c r="F10" i="10"/>
  <c r="F57" i="10" l="1"/>
  <c r="E41" i="10"/>
  <c r="F41" i="10" s="1"/>
  <c r="E40" i="10"/>
  <c r="F40" i="10" s="1"/>
  <c r="E39" i="10"/>
  <c r="F39" i="10" s="1"/>
  <c r="E13" i="10"/>
  <c r="F13" i="10" s="1"/>
  <c r="F17" i="10" s="1"/>
  <c r="B34" i="10"/>
  <c r="E34" i="10" s="1"/>
  <c r="E27" i="10"/>
  <c r="E20" i="10"/>
  <c r="F20" i="10" s="1"/>
  <c r="F24" i="10" l="1"/>
  <c r="D27" i="10"/>
  <c r="F27" i="10" s="1"/>
  <c r="F31" i="10" s="1"/>
  <c r="F42" i="10"/>
  <c r="F34" i="10"/>
  <c r="F35" i="10" s="1"/>
  <c r="F59" i="10" l="1"/>
</calcChain>
</file>

<file path=xl/sharedStrings.xml><?xml version="1.0" encoding="utf-8"?>
<sst xmlns="http://schemas.openxmlformats.org/spreadsheetml/2006/main" count="106" uniqueCount="38">
  <si>
    <t>LIQUIDACIÓN DE LAS PRETENSIONES DE LA DEMANDA</t>
  </si>
  <si>
    <t>*Nota: Se liquidan las prestaciones sociales el año 2020 sobre el salario indicado en la demanda y en atención a que se desconoce el salario para el año 2017, 2018 y 2019, se liquidan estos con un SMMLV</t>
  </si>
  <si>
    <t>DESDE</t>
  </si>
  <si>
    <t>HASTA</t>
  </si>
  <si>
    <t>SALARIO</t>
  </si>
  <si>
    <t>DÍAS</t>
  </si>
  <si>
    <t>SALARIOS</t>
  </si>
  <si>
    <t>TOTAL ADEUDADO</t>
  </si>
  <si>
    <t>*Nota: En la liquidación de cesantías y prima se tiene en cuenta el auxilio de transportepara los años 2017, 2018 y 2019 ya que estas se liquidaron sobre un SMMLV</t>
  </si>
  <si>
    <t>PRIMAS</t>
  </si>
  <si>
    <t>CESANTÍAS</t>
  </si>
  <si>
    <t>INTERESES</t>
  </si>
  <si>
    <t>VACACIONES</t>
  </si>
  <si>
    <t>SANCIÓN POR NO CONSIGNACIÓN DE CESANTÍAS</t>
  </si>
  <si>
    <t>SANCIÓN</t>
  </si>
  <si>
    <t>INDEMNIZACIÓN ARTÍCULO 64 DEL C.S.T.</t>
  </si>
  <si>
    <t>AÑO</t>
  </si>
  <si>
    <t>MES</t>
  </si>
  <si>
    <t>DÍA</t>
  </si>
  <si>
    <t>Tiempo Laborado en:</t>
  </si>
  <si>
    <t>Fecha de Liquidación: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</si>
  <si>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</si>
  <si>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</si>
  <si>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</si>
  <si>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</si>
  <si>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</si>
  <si>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</si>
  <si>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</si>
  <si>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</si>
  <si>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</si>
  <si>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>Salario diario</t>
  </si>
  <si>
    <t>x 720 días</t>
  </si>
  <si>
    <t>Total</t>
  </si>
  <si>
    <t>Total Liquidación:</t>
  </si>
  <si>
    <t>LIQUIDACIÓN PARA FACTURACIÓN (CONFORME A LOS AMPAROS DE LA PÓLIZA)</t>
  </si>
  <si>
    <t xml:space="preserve">*Nota: Conforme al clausulado que nos envió la compañía, la póliza ampara el pago de salarios, prestaciones sociales e indemnizaciones laborales </t>
  </si>
  <si>
    <t xml:space="preserve">*Nota: La vigencia de la póliza inicia el 23/06/2017 y fenece el 23/06/2022, teniendo en cuenta el término de prescripción trienal. Los salarios, prestaciones e indemnizaciones que solicita la parte demandante, se encuentran dentro de la vigencia de la póliza. </t>
  </si>
  <si>
    <r>
      <rPr>
        <sz val="9"/>
        <color theme="1"/>
        <rFont val="Calibri"/>
        <family val="2"/>
        <scheme val="minor"/>
      </rPr>
      <t xml:space="preserve">CONSIDERANDO QUE LA LIQUIDACIÓN OBJETIVA DE LAS PRETENSIONES DE CARA AL AMPARO DE SALARIOS, PRESTACIONES SOCIALES E INDEMNIZACIONES SUPERA EL VALOR ASEGURADO, SE TENDRÁ EN CUENTA PARA EFECTOS DE PML EL VALOR ASEGURADO DE $25.000.000, CONFORME LA PÓLIZA No. GU136799      </t>
    </r>
    <r>
      <rPr>
        <b/>
        <u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</si>
</sst>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4" fontId="4" fillId="0" borderId="1" xfId="0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164" fontId="3" fillId="0" borderId="1" xfId="1" applyNumberFormat="1" applyFont="1" applyBorder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8" fontId="6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44" fontId="10" fillId="4" borderId="1" xfId="0" applyNumberFormat="1" applyFont="1" applyFill="1" applyBorder="1"/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9" fontId="6" fillId="2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/>
    <xf numFmtId="165" fontId="3" fillId="3" borderId="1" xfId="0" applyNumberFormat="1" applyFont="1" applyFill="1" applyBorder="1"/>
    <xf numFmtId="8" fontId="0" fillId="0" borderId="0" xfId="0" applyNumberFormat="1"/>
    <xf numFmtId="8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5" fontId="4" fillId="0" borderId="1" xfId="2" applyNumberFormat="1" applyFont="1" applyBorder="1" applyAlignment="1">
      <alignment horizontal="center"/>
    </xf>
    <xf numFmtId="8" fontId="6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5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5" borderId="0" xfId="0" applyFont="1" applyFill="1" applyAlignment="1">
      <alignment horizontal="center" vertical="center" wrapText="1"/>
    </xf>
    <xf numFmtId="8" fontId="7" fillId="0" borderId="1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</cellXfs>
  <cellStyles count="7">
    <cellStyle name="Millares" xfId="1" builtinId="3"/>
    <cellStyle name="Millares [0] 2" xfId="4" xr:uid="{00000000-0005-0000-0000-000001000000}"/>
    <cellStyle name="Moneda" xfId="2" builtinId="4"/>
    <cellStyle name="Moneda [0] 2" xfId="6" xr:uid="{00000000-0005-0000-0000-000003000000}"/>
    <cellStyle name="Moneda 2" xfId="5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F31F2A-C7FD-DF26-E5CF-E26BD90D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9174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59"/>
  <sheetViews>
    <sheetView workbookViewId="0">
      <selection activeCell="C64" sqref="C64"/>
    </sheetView>
  </sheetViews>
  <sheetFormatPr baseColWidth="10" defaultColWidth="11.42578125" defaultRowHeight="15" x14ac:dyDescent="0.25"/>
  <cols>
    <col min="2" max="2" width="16.42578125" style="7" customWidth="1"/>
    <col min="3" max="4" width="11.42578125" style="7"/>
    <col min="5" max="5" width="22.7109375" style="7" bestFit="1" customWidth="1"/>
    <col min="6" max="6" width="18.85546875" style="7" customWidth="1"/>
    <col min="7" max="7" width="11.42578125" style="7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11" ht="15" customHeight="1" x14ac:dyDescent="0.25">
      <c r="B5" s="41" t="s">
        <v>0</v>
      </c>
      <c r="C5" s="41"/>
      <c r="D5" s="41"/>
      <c r="E5" s="41"/>
      <c r="F5" s="41"/>
      <c r="H5" s="39" t="s">
        <v>1</v>
      </c>
      <c r="I5" s="39"/>
      <c r="J5" s="39"/>
      <c r="K5" s="39"/>
    </row>
    <row r="6" spans="2:11" x14ac:dyDescent="0.25">
      <c r="B6" s="1" t="s">
        <v>2</v>
      </c>
      <c r="C6" s="1" t="s">
        <v>3</v>
      </c>
      <c r="D6" s="1" t="s">
        <v>4</v>
      </c>
      <c r="E6" s="1" t="s">
        <v>5</v>
      </c>
      <c r="F6" s="2" t="s">
        <v>6</v>
      </c>
      <c r="H6" s="39"/>
      <c r="I6" s="39"/>
      <c r="J6" s="39"/>
      <c r="K6" s="39"/>
    </row>
    <row r="7" spans="2:11" x14ac:dyDescent="0.25">
      <c r="B7" s="3">
        <v>43983</v>
      </c>
      <c r="C7" s="3">
        <v>44012</v>
      </c>
      <c r="D7" s="4">
        <v>1350000</v>
      </c>
      <c r="E7" s="4">
        <f t="shared" ref="E7:E9" si="0">DAYS360(B7,C7)+1</f>
        <v>30</v>
      </c>
      <c r="F7" s="5">
        <f>(D7/30)*E7</f>
        <v>1350000</v>
      </c>
      <c r="H7" s="39"/>
      <c r="I7" s="39"/>
      <c r="J7" s="39"/>
      <c r="K7" s="39"/>
    </row>
    <row r="8" spans="2:11" x14ac:dyDescent="0.25">
      <c r="B8" s="3">
        <v>44013</v>
      </c>
      <c r="C8" s="3">
        <v>44042</v>
      </c>
      <c r="D8" s="4">
        <v>1350000</v>
      </c>
      <c r="E8" s="4">
        <f t="shared" si="0"/>
        <v>30</v>
      </c>
      <c r="F8" s="5">
        <f t="shared" ref="F8:F9" si="1">(D8/30)*E8</f>
        <v>1350000</v>
      </c>
      <c r="H8" s="39"/>
      <c r="I8" s="39"/>
      <c r="J8" s="39"/>
      <c r="K8" s="39"/>
    </row>
    <row r="9" spans="2:11" x14ac:dyDescent="0.25">
      <c r="B9" s="3">
        <v>44044</v>
      </c>
      <c r="C9" s="3">
        <v>44073</v>
      </c>
      <c r="D9" s="4">
        <v>1350000</v>
      </c>
      <c r="E9" s="4">
        <f t="shared" si="0"/>
        <v>30</v>
      </c>
      <c r="F9" s="5">
        <f t="shared" si="1"/>
        <v>1350000</v>
      </c>
    </row>
    <row r="10" spans="2:11" x14ac:dyDescent="0.25">
      <c r="B10" s="31" t="s">
        <v>7</v>
      </c>
      <c r="C10" s="31"/>
      <c r="D10" s="31"/>
      <c r="E10" s="31"/>
      <c r="F10" s="6">
        <f>SUM(F7:F9)</f>
        <v>4050000</v>
      </c>
      <c r="H10" s="43" t="s">
        <v>8</v>
      </c>
      <c r="I10" s="43"/>
      <c r="J10" s="43"/>
      <c r="K10" s="43"/>
    </row>
    <row r="11" spans="2:11" x14ac:dyDescent="0.25">
      <c r="H11" s="43"/>
      <c r="I11" s="43"/>
      <c r="J11" s="43"/>
      <c r="K11" s="43"/>
    </row>
    <row r="12" spans="2:11" x14ac:dyDescent="0.25">
      <c r="B12" s="1" t="s">
        <v>2</v>
      </c>
      <c r="C12" s="1" t="s">
        <v>3</v>
      </c>
      <c r="D12" s="1" t="s">
        <v>4</v>
      </c>
      <c r="E12" s="1" t="s">
        <v>5</v>
      </c>
      <c r="F12" s="2" t="s">
        <v>9</v>
      </c>
      <c r="H12" s="43"/>
      <c r="I12" s="43"/>
      <c r="J12" s="43"/>
      <c r="K12" s="43"/>
    </row>
    <row r="13" spans="2:11" x14ac:dyDescent="0.25">
      <c r="B13" s="3">
        <v>43092</v>
      </c>
      <c r="C13" s="3">
        <v>43100</v>
      </c>
      <c r="D13" s="4">
        <v>820857</v>
      </c>
      <c r="E13" s="4">
        <f>DAYS360(B13,C13)+1</f>
        <v>9</v>
      </c>
      <c r="F13" s="5">
        <f>(D13*E13)/360</f>
        <v>20521.424999999999</v>
      </c>
      <c r="H13" s="43"/>
      <c r="I13" s="43"/>
      <c r="J13" s="43"/>
      <c r="K13" s="43"/>
    </row>
    <row r="14" spans="2:11" x14ac:dyDescent="0.25">
      <c r="B14" s="3">
        <v>43101</v>
      </c>
      <c r="C14" s="3">
        <v>43465</v>
      </c>
      <c r="D14" s="4">
        <v>869453</v>
      </c>
      <c r="E14" s="4">
        <f t="shared" ref="E14:E16" si="2">DAYS360(B14,C14)+1</f>
        <v>361</v>
      </c>
      <c r="F14" s="5">
        <f t="shared" ref="F14:F16" si="3">(D14*E14)/360</f>
        <v>871868.14722222218</v>
      </c>
    </row>
    <row r="15" spans="2:11" x14ac:dyDescent="0.25">
      <c r="B15" s="3">
        <v>43466</v>
      </c>
      <c r="C15" s="3">
        <v>43830</v>
      </c>
      <c r="D15" s="4">
        <v>925148</v>
      </c>
      <c r="E15" s="4">
        <f t="shared" si="2"/>
        <v>361</v>
      </c>
      <c r="F15" s="5">
        <f t="shared" si="3"/>
        <v>927717.85555555555</v>
      </c>
    </row>
    <row r="16" spans="2:11" x14ac:dyDescent="0.25">
      <c r="B16" s="3">
        <v>43831</v>
      </c>
      <c r="C16" s="3">
        <v>44074</v>
      </c>
      <c r="D16" s="4">
        <v>1350000</v>
      </c>
      <c r="E16" s="4">
        <f t="shared" si="2"/>
        <v>241</v>
      </c>
      <c r="F16" s="5">
        <f t="shared" si="3"/>
        <v>903750</v>
      </c>
    </row>
    <row r="17" spans="2:6" x14ac:dyDescent="0.25">
      <c r="B17" s="31" t="s">
        <v>7</v>
      </c>
      <c r="C17" s="31"/>
      <c r="D17" s="31"/>
      <c r="E17" s="31"/>
      <c r="F17" s="6">
        <f>SUM(F13:F16)</f>
        <v>2723857.4277777779</v>
      </c>
    </row>
    <row r="19" spans="2:6" x14ac:dyDescent="0.25">
      <c r="B19" s="1" t="s">
        <v>2</v>
      </c>
      <c r="C19" s="1" t="s">
        <v>3</v>
      </c>
      <c r="D19" s="1" t="s">
        <v>4</v>
      </c>
      <c r="E19" s="1" t="s">
        <v>5</v>
      </c>
      <c r="F19" s="2" t="s">
        <v>10</v>
      </c>
    </row>
    <row r="20" spans="2:6" x14ac:dyDescent="0.25">
      <c r="B20" s="3">
        <v>43092</v>
      </c>
      <c r="C20" s="3">
        <v>43100</v>
      </c>
      <c r="D20" s="4">
        <v>820857</v>
      </c>
      <c r="E20" s="4">
        <f>DAYS360(B20,C20)+1</f>
        <v>9</v>
      </c>
      <c r="F20" s="5">
        <f>(D20*E20)/360</f>
        <v>20521.424999999999</v>
      </c>
    </row>
    <row r="21" spans="2:6" x14ac:dyDescent="0.25">
      <c r="B21" s="3">
        <v>43101</v>
      </c>
      <c r="C21" s="3">
        <v>43465</v>
      </c>
      <c r="D21" s="4">
        <v>869453</v>
      </c>
      <c r="E21" s="4">
        <f t="shared" ref="E21:E23" si="4">DAYS360(B21,C21)+1</f>
        <v>361</v>
      </c>
      <c r="F21" s="5">
        <f t="shared" ref="F21:F23" si="5">(D21*E21)/360</f>
        <v>871868.14722222218</v>
      </c>
    </row>
    <row r="22" spans="2:6" x14ac:dyDescent="0.25">
      <c r="B22" s="3">
        <v>43466</v>
      </c>
      <c r="C22" s="3">
        <v>43830</v>
      </c>
      <c r="D22" s="4">
        <v>925148</v>
      </c>
      <c r="E22" s="4">
        <f t="shared" si="4"/>
        <v>361</v>
      </c>
      <c r="F22" s="5">
        <f t="shared" si="5"/>
        <v>927717.85555555555</v>
      </c>
    </row>
    <row r="23" spans="2:6" x14ac:dyDescent="0.25">
      <c r="B23" s="3">
        <v>43831</v>
      </c>
      <c r="C23" s="3">
        <v>44074</v>
      </c>
      <c r="D23" s="4">
        <v>1350000</v>
      </c>
      <c r="E23" s="4">
        <f t="shared" si="4"/>
        <v>241</v>
      </c>
      <c r="F23" s="5">
        <f t="shared" si="5"/>
        <v>903750</v>
      </c>
    </row>
    <row r="24" spans="2:6" x14ac:dyDescent="0.25">
      <c r="B24" s="31" t="s">
        <v>7</v>
      </c>
      <c r="C24" s="31"/>
      <c r="D24" s="31"/>
      <c r="E24" s="31"/>
      <c r="F24" s="6">
        <f>SUM(F20:F23)</f>
        <v>2723857.4277777779</v>
      </c>
    </row>
    <row r="26" spans="2:6" x14ac:dyDescent="0.25">
      <c r="B26" s="1" t="s">
        <v>2</v>
      </c>
      <c r="C26" s="1" t="s">
        <v>3</v>
      </c>
      <c r="D26" s="1" t="s">
        <v>10</v>
      </c>
      <c r="E26" s="1" t="s">
        <v>5</v>
      </c>
      <c r="F26" s="2" t="s">
        <v>11</v>
      </c>
    </row>
    <row r="27" spans="2:6" x14ac:dyDescent="0.25">
      <c r="B27" s="3">
        <v>43092</v>
      </c>
      <c r="C27" s="3">
        <v>43100</v>
      </c>
      <c r="D27" s="4">
        <f>F20</f>
        <v>20521.424999999999</v>
      </c>
      <c r="E27" s="4">
        <f>DAYS360(B27,C27)+1</f>
        <v>9</v>
      </c>
      <c r="F27" s="4">
        <f>(D27*E27*0.12)/360</f>
        <v>61.564274999999988</v>
      </c>
    </row>
    <row r="28" spans="2:6" x14ac:dyDescent="0.25">
      <c r="B28" s="3">
        <v>43101</v>
      </c>
      <c r="C28" s="3">
        <v>43465</v>
      </c>
      <c r="D28" s="4">
        <f>F21</f>
        <v>871868.14722222218</v>
      </c>
      <c r="E28" s="4">
        <f t="shared" ref="E28:E30" si="6">DAYS360(B28,C28)+1</f>
        <v>361</v>
      </c>
      <c r="F28" s="4">
        <f t="shared" ref="F28:F30" si="7">(D28*E28*0.12)/360</f>
        <v>104914.8003824074</v>
      </c>
    </row>
    <row r="29" spans="2:6" x14ac:dyDescent="0.25">
      <c r="B29" s="3">
        <v>43466</v>
      </c>
      <c r="C29" s="3">
        <v>43830</v>
      </c>
      <c r="D29" s="4">
        <f>F22</f>
        <v>927717.85555555555</v>
      </c>
      <c r="E29" s="4">
        <f t="shared" si="6"/>
        <v>361</v>
      </c>
      <c r="F29" s="4">
        <f t="shared" si="7"/>
        <v>111635.38195185183</v>
      </c>
    </row>
    <row r="30" spans="2:6" x14ac:dyDescent="0.25">
      <c r="B30" s="3">
        <v>43831</v>
      </c>
      <c r="C30" s="3">
        <v>44074</v>
      </c>
      <c r="D30" s="4">
        <f>F23</f>
        <v>903750</v>
      </c>
      <c r="E30" s="4">
        <f t="shared" si="6"/>
        <v>241</v>
      </c>
      <c r="F30" s="4">
        <f t="shared" si="7"/>
        <v>72601.25</v>
      </c>
    </row>
    <row r="31" spans="2:6" x14ac:dyDescent="0.25">
      <c r="B31" s="31" t="s">
        <v>7</v>
      </c>
      <c r="C31" s="31"/>
      <c r="D31" s="31"/>
      <c r="E31" s="31"/>
      <c r="F31" s="6">
        <f>SUM(F27:F30)</f>
        <v>289212.99660925922</v>
      </c>
    </row>
    <row r="33" spans="2:9" x14ac:dyDescent="0.25">
      <c r="B33" s="1" t="s">
        <v>2</v>
      </c>
      <c r="C33" s="1" t="s">
        <v>3</v>
      </c>
      <c r="D33" s="1" t="s">
        <v>4</v>
      </c>
      <c r="E33" s="1" t="s">
        <v>5</v>
      </c>
      <c r="F33" s="2" t="s">
        <v>12</v>
      </c>
    </row>
    <row r="34" spans="2:9" x14ac:dyDescent="0.25">
      <c r="B34" s="3">
        <f>B20</f>
        <v>43092</v>
      </c>
      <c r="C34" s="3">
        <v>44074</v>
      </c>
      <c r="D34" s="4">
        <v>1350000</v>
      </c>
      <c r="E34" s="4">
        <f t="shared" ref="E34" si="8">DAYS360(B34,C34)+1</f>
        <v>969</v>
      </c>
      <c r="F34" s="4">
        <f>(D34*E34)/720</f>
        <v>1816875</v>
      </c>
    </row>
    <row r="35" spans="2:9" x14ac:dyDescent="0.25">
      <c r="B35" s="31" t="s">
        <v>7</v>
      </c>
      <c r="C35" s="31"/>
      <c r="D35" s="31"/>
      <c r="E35" s="31"/>
      <c r="F35" s="6">
        <f>SUM(F34:F34)</f>
        <v>1816875</v>
      </c>
    </row>
    <row r="37" spans="2:9" x14ac:dyDescent="0.25">
      <c r="B37" s="34" t="s">
        <v>13</v>
      </c>
      <c r="C37" s="34"/>
      <c r="D37" s="34"/>
      <c r="E37" s="34"/>
      <c r="F37" s="34"/>
    </row>
    <row r="38" spans="2:9" x14ac:dyDescent="0.25">
      <c r="B38" s="1" t="s">
        <v>2</v>
      </c>
      <c r="C38" s="1" t="s">
        <v>3</v>
      </c>
      <c r="D38" s="1" t="s">
        <v>4</v>
      </c>
      <c r="E38" s="1" t="s">
        <v>5</v>
      </c>
      <c r="F38" s="8" t="s">
        <v>14</v>
      </c>
    </row>
    <row r="39" spans="2:9" x14ac:dyDescent="0.25">
      <c r="B39" s="3">
        <v>43146</v>
      </c>
      <c r="C39" s="3">
        <v>43510</v>
      </c>
      <c r="D39" s="4">
        <v>737717</v>
      </c>
      <c r="E39" s="4">
        <f>DAYS360(B39,C39)+1</f>
        <v>360</v>
      </c>
      <c r="F39" s="4">
        <f>(D39/30)*E39</f>
        <v>8852604</v>
      </c>
    </row>
    <row r="40" spans="2:9" x14ac:dyDescent="0.25">
      <c r="B40" s="3">
        <v>43511</v>
      </c>
      <c r="C40" s="3">
        <v>43875</v>
      </c>
      <c r="D40" s="4">
        <v>781242</v>
      </c>
      <c r="E40" s="4">
        <f t="shared" ref="E40:E41" si="9">DAYS360(B40,C40)+1</f>
        <v>360</v>
      </c>
      <c r="F40" s="4">
        <f t="shared" ref="F40:F41" si="10">(D40/30)*E40</f>
        <v>9374904</v>
      </c>
    </row>
    <row r="41" spans="2:9" x14ac:dyDescent="0.25">
      <c r="B41" s="3">
        <v>43876</v>
      </c>
      <c r="C41" s="3">
        <v>44074</v>
      </c>
      <c r="D41" s="4">
        <v>828116</v>
      </c>
      <c r="E41" s="5">
        <f t="shared" si="9"/>
        <v>197</v>
      </c>
      <c r="F41" s="5">
        <f t="shared" si="10"/>
        <v>5437961.7333333334</v>
      </c>
    </row>
    <row r="42" spans="2:9" x14ac:dyDescent="0.25">
      <c r="B42" s="31" t="s">
        <v>7</v>
      </c>
      <c r="C42" s="31"/>
      <c r="D42" s="31"/>
      <c r="E42" s="31"/>
      <c r="F42" s="6">
        <f>SUM(F39:F41)</f>
        <v>23665469.733333334</v>
      </c>
    </row>
    <row r="44" spans="2:9" x14ac:dyDescent="0.25">
      <c r="B44" s="34" t="s">
        <v>15</v>
      </c>
      <c r="C44" s="34"/>
      <c r="D44" s="34"/>
      <c r="E44" s="34"/>
      <c r="F44" s="34"/>
      <c r="G44" s="34"/>
      <c r="H44" s="34"/>
      <c r="I44" s="34"/>
    </row>
    <row r="45" spans="2:9" x14ac:dyDescent="0.25">
      <c r="B45" s="32"/>
      <c r="C45" s="32"/>
      <c r="D45" s="32"/>
      <c r="E45" s="19" t="s">
        <v>16</v>
      </c>
      <c r="F45" s="19" t="s">
        <v>17</v>
      </c>
      <c r="G45" s="19" t="s">
        <v>18</v>
      </c>
      <c r="H45" s="33" t="s">
        <v>19</v>
      </c>
      <c r="I45" s="33"/>
    </row>
    <row r="46" spans="2:9" x14ac:dyDescent="0.25">
      <c r="B46" s="30" t="s">
        <v>20</v>
      </c>
      <c r="C46" s="30"/>
      <c r="D46" s="30"/>
      <c r="E46" s="11">
        <v>2020</v>
      </c>
      <c r="F46" s="11">
        <v>8</v>
      </c>
      <c r="G46" s="20">
        <v>31</v>
      </c>
      <c r="H46" s="22" t="s">
        <v>21</v>
      </c>
      <c r="I46" s="23" t="s">
        <v>22</v>
      </c>
    </row>
    <row r="47" spans="2:9" x14ac:dyDescent="0.25">
      <c r="B47" s="30" t="s">
        <v>23</v>
      </c>
      <c r="C47" s="30"/>
      <c r="D47" s="30"/>
      <c r="E47" s="16">
        <v>2017</v>
      </c>
      <c r="F47" s="16">
        <v>12</v>
      </c>
      <c r="G47" s="21">
        <v>23</v>
      </c>
      <c r="H47" s="24">
        <f>(E46-E47)*360+(F46-F47)*30+(G46-G47+1)</f>
        <v>969</v>
      </c>
      <c r="I47" s="25">
        <f>H47/360</f>
        <v>2.6916666666666669</v>
      </c>
    </row>
    <row r="48" spans="2:9" x14ac:dyDescent="0.25">
      <c r="B48" s="30" t="s">
        <v>24</v>
      </c>
      <c r="C48" s="30"/>
      <c r="D48" s="30"/>
      <c r="E48" s="44">
        <v>1350000</v>
      </c>
      <c r="F48" s="44"/>
      <c r="G48" s="44"/>
      <c r="H48" s="44"/>
      <c r="I48" s="44"/>
    </row>
    <row r="49" spans="2:10" x14ac:dyDescent="0.25">
      <c r="B49" s="30" t="s">
        <v>25</v>
      </c>
      <c r="C49" s="30"/>
      <c r="D49" s="30"/>
      <c r="E49" s="29">
        <f>E48/30</f>
        <v>45000</v>
      </c>
      <c r="F49" s="29"/>
      <c r="G49" s="29"/>
      <c r="H49" s="29"/>
      <c r="I49" s="29"/>
    </row>
    <row r="50" spans="2:10" x14ac:dyDescent="0.25">
      <c r="B50" s="30" t="s">
        <v>26</v>
      </c>
      <c r="C50" s="30"/>
      <c r="D50" s="30"/>
      <c r="E50" s="29">
        <f>E48</f>
        <v>1350000</v>
      </c>
      <c r="F50" s="29"/>
      <c r="G50" s="29"/>
      <c r="H50" s="29"/>
      <c r="I50" s="29"/>
    </row>
    <row r="51" spans="2:10" x14ac:dyDescent="0.25">
      <c r="B51" s="30" t="s">
        <v>27</v>
      </c>
      <c r="C51" s="30"/>
      <c r="D51" s="30"/>
      <c r="E51" s="17">
        <f>I47-1</f>
        <v>1.6916666666666669</v>
      </c>
      <c r="F51" s="29">
        <f>E51*20*E49</f>
        <v>1522500</v>
      </c>
      <c r="G51" s="29"/>
      <c r="H51" s="29"/>
      <c r="I51" s="29"/>
    </row>
    <row r="52" spans="2:10" x14ac:dyDescent="0.25">
      <c r="B52" s="42" t="s">
        <v>28</v>
      </c>
      <c r="C52" s="42"/>
      <c r="D52" s="42"/>
      <c r="E52" s="12"/>
      <c r="F52" s="37">
        <f>E50+F51</f>
        <v>2872500</v>
      </c>
      <c r="G52" s="37"/>
      <c r="H52" s="37"/>
      <c r="I52" s="37"/>
      <c r="J52" s="28"/>
    </row>
    <row r="53" spans="2:10" x14ac:dyDescent="0.25">
      <c r="B53" s="13"/>
      <c r="C53" s="13"/>
      <c r="D53" s="13"/>
      <c r="E53" s="14"/>
      <c r="F53" s="15"/>
    </row>
    <row r="54" spans="2:10" x14ac:dyDescent="0.25">
      <c r="B54" s="9"/>
      <c r="C54" s="9"/>
      <c r="D54" s="9"/>
      <c r="E54" s="9"/>
      <c r="F54" s="9"/>
    </row>
    <row r="55" spans="2:10" x14ac:dyDescent="0.25">
      <c r="B55" s="34" t="s">
        <v>29</v>
      </c>
      <c r="C55" s="34"/>
      <c r="D55" s="34"/>
      <c r="E55" s="34"/>
      <c r="F55" s="34"/>
    </row>
    <row r="56" spans="2:10" x14ac:dyDescent="0.25">
      <c r="B56" s="40" t="s">
        <v>30</v>
      </c>
      <c r="C56" s="40"/>
      <c r="D56" s="40" t="s">
        <v>31</v>
      </c>
      <c r="E56" s="40"/>
      <c r="F56" s="10" t="s">
        <v>32</v>
      </c>
    </row>
    <row r="57" spans="2:10" x14ac:dyDescent="0.25">
      <c r="B57" s="36">
        <f>(1350000/30)</f>
        <v>45000</v>
      </c>
      <c r="C57" s="36"/>
      <c r="D57" s="38">
        <v>720</v>
      </c>
      <c r="E57" s="38"/>
      <c r="F57" s="27">
        <f>B57*D57</f>
        <v>32400000</v>
      </c>
    </row>
    <row r="59" spans="2:10" x14ac:dyDescent="0.25">
      <c r="B59" s="35" t="s">
        <v>33</v>
      </c>
      <c r="C59" s="35"/>
      <c r="D59" s="35"/>
      <c r="E59" s="35"/>
      <c r="F59" s="18">
        <f>SUM(F57+F52+F42+F35+F31+F24+F17+F10)</f>
        <v>70541772.585498139</v>
      </c>
    </row>
  </sheetData>
  <mergeCells count="31">
    <mergeCell ref="H5:K8"/>
    <mergeCell ref="B55:F55"/>
    <mergeCell ref="B56:C56"/>
    <mergeCell ref="D56:E56"/>
    <mergeCell ref="B5:F5"/>
    <mergeCell ref="B17:E17"/>
    <mergeCell ref="B10:E10"/>
    <mergeCell ref="B46:D46"/>
    <mergeCell ref="B52:D52"/>
    <mergeCell ref="B44:I44"/>
    <mergeCell ref="B49:D49"/>
    <mergeCell ref="B50:D50"/>
    <mergeCell ref="B51:D51"/>
    <mergeCell ref="H10:K13"/>
    <mergeCell ref="E48:I48"/>
    <mergeCell ref="E49:I49"/>
    <mergeCell ref="B59:E59"/>
    <mergeCell ref="B57:C57"/>
    <mergeCell ref="F51:I51"/>
    <mergeCell ref="F52:I52"/>
    <mergeCell ref="D57:E57"/>
    <mergeCell ref="E50:I50"/>
    <mergeCell ref="B47:D47"/>
    <mergeCell ref="B48:D48"/>
    <mergeCell ref="B24:E24"/>
    <mergeCell ref="B31:E31"/>
    <mergeCell ref="B35:E35"/>
    <mergeCell ref="B45:D45"/>
    <mergeCell ref="H45:I45"/>
    <mergeCell ref="B37:F37"/>
    <mergeCell ref="B42:E4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8"/>
  <sheetViews>
    <sheetView tabSelected="1" workbookViewId="0">
      <selection activeCell="B45" sqref="B45:F48"/>
    </sheetView>
  </sheetViews>
  <sheetFormatPr baseColWidth="10" defaultColWidth="11.42578125" defaultRowHeight="15" x14ac:dyDescent="0.25"/>
  <cols>
    <col min="6" max="6" width="15.85546875" customWidth="1"/>
  </cols>
  <sheetData>
    <row r="1" spans="2:11" x14ac:dyDescent="0.25">
      <c r="B1" s="41" t="s">
        <v>34</v>
      </c>
      <c r="C1" s="41"/>
      <c r="D1" s="41"/>
      <c r="E1" s="41"/>
      <c r="F1" s="41"/>
      <c r="G1" s="7"/>
    </row>
    <row r="2" spans="2:11" x14ac:dyDescent="0.25"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7"/>
      <c r="H2" s="46" t="s">
        <v>35</v>
      </c>
      <c r="I2" s="46"/>
      <c r="J2" s="46"/>
      <c r="K2" s="46"/>
    </row>
    <row r="3" spans="2:11" x14ac:dyDescent="0.25">
      <c r="B3" s="3">
        <v>43983</v>
      </c>
      <c r="C3" s="3">
        <v>44012</v>
      </c>
      <c r="D3" s="4">
        <v>1350000</v>
      </c>
      <c r="E3" s="4">
        <f t="shared" ref="E3:E5" si="0">DAYS360(B3,C3)+1</f>
        <v>30</v>
      </c>
      <c r="F3" s="5">
        <f>(D3/30)*E3</f>
        <v>1350000</v>
      </c>
      <c r="G3" s="7"/>
      <c r="H3" s="46"/>
      <c r="I3" s="46"/>
      <c r="J3" s="46"/>
      <c r="K3" s="46"/>
    </row>
    <row r="4" spans="2:11" x14ac:dyDescent="0.25">
      <c r="B4" s="3">
        <v>44013</v>
      </c>
      <c r="C4" s="3">
        <v>44042</v>
      </c>
      <c r="D4" s="4">
        <v>1350000</v>
      </c>
      <c r="E4" s="4">
        <f t="shared" si="0"/>
        <v>30</v>
      </c>
      <c r="F4" s="5">
        <f t="shared" ref="F4:F5" si="1">(D4/30)*E4</f>
        <v>1350000</v>
      </c>
      <c r="G4" s="7"/>
      <c r="H4" s="46"/>
      <c r="I4" s="46"/>
      <c r="J4" s="46"/>
      <c r="K4" s="46"/>
    </row>
    <row r="5" spans="2:11" x14ac:dyDescent="0.25">
      <c r="B5" s="3">
        <v>44044</v>
      </c>
      <c r="C5" s="3">
        <v>44073</v>
      </c>
      <c r="D5" s="4">
        <v>1350000</v>
      </c>
      <c r="E5" s="4">
        <f t="shared" si="0"/>
        <v>30</v>
      </c>
      <c r="F5" s="5">
        <f t="shared" si="1"/>
        <v>1350000</v>
      </c>
      <c r="G5" s="7"/>
    </row>
    <row r="6" spans="2:11" ht="15" customHeight="1" x14ac:dyDescent="0.25">
      <c r="B6" s="31" t="s">
        <v>7</v>
      </c>
      <c r="C6" s="31"/>
      <c r="D6" s="31"/>
      <c r="E6" s="31"/>
      <c r="F6" s="6">
        <f>SUM(F3:F5)</f>
        <v>4050000</v>
      </c>
      <c r="G6" s="7"/>
      <c r="H6" s="46" t="s">
        <v>36</v>
      </c>
      <c r="I6" s="46"/>
      <c r="J6" s="46"/>
      <c r="K6" s="46"/>
    </row>
    <row r="7" spans="2:11" x14ac:dyDescent="0.25">
      <c r="B7" s="7"/>
      <c r="C7" s="7"/>
      <c r="D7" s="7"/>
      <c r="E7" s="7"/>
      <c r="F7" s="7"/>
      <c r="G7" s="7"/>
      <c r="H7" s="46"/>
      <c r="I7" s="46"/>
      <c r="J7" s="46"/>
      <c r="K7" s="46"/>
    </row>
    <row r="8" spans="2:11" x14ac:dyDescent="0.25">
      <c r="B8" s="1" t="s">
        <v>2</v>
      </c>
      <c r="C8" s="1" t="s">
        <v>3</v>
      </c>
      <c r="D8" s="1" t="s">
        <v>4</v>
      </c>
      <c r="E8" s="1" t="s">
        <v>5</v>
      </c>
      <c r="F8" s="2" t="s">
        <v>9</v>
      </c>
      <c r="G8" s="7"/>
      <c r="H8" s="46"/>
      <c r="I8" s="46"/>
      <c r="J8" s="46"/>
      <c r="K8" s="46"/>
    </row>
    <row r="9" spans="2:11" x14ac:dyDescent="0.25">
      <c r="B9" s="3">
        <v>43092</v>
      </c>
      <c r="C9" s="3">
        <v>43100</v>
      </c>
      <c r="D9" s="4">
        <v>820857</v>
      </c>
      <c r="E9" s="4">
        <f>DAYS360(B9,C9)+1</f>
        <v>9</v>
      </c>
      <c r="F9" s="5">
        <f>(D9*E9)/360</f>
        <v>20521.424999999999</v>
      </c>
      <c r="G9" s="7"/>
      <c r="H9" s="46"/>
      <c r="I9" s="46"/>
      <c r="J9" s="46"/>
      <c r="K9" s="46"/>
    </row>
    <row r="10" spans="2:11" x14ac:dyDescent="0.25">
      <c r="B10" s="3">
        <v>43101</v>
      </c>
      <c r="C10" s="3">
        <v>43465</v>
      </c>
      <c r="D10" s="4">
        <v>869453</v>
      </c>
      <c r="E10" s="4">
        <f t="shared" ref="E10:E12" si="2">DAYS360(B10,C10)+1</f>
        <v>361</v>
      </c>
      <c r="F10" s="5">
        <f t="shared" ref="F10:F12" si="3">(D10*E10)/360</f>
        <v>871868.14722222218</v>
      </c>
      <c r="G10" s="7"/>
    </row>
    <row r="11" spans="2:11" x14ac:dyDescent="0.25">
      <c r="B11" s="3">
        <v>43466</v>
      </c>
      <c r="C11" s="3">
        <v>43830</v>
      </c>
      <c r="D11" s="4">
        <v>925148</v>
      </c>
      <c r="E11" s="4">
        <f t="shared" si="2"/>
        <v>361</v>
      </c>
      <c r="F11" s="5">
        <f t="shared" si="3"/>
        <v>927717.85555555555</v>
      </c>
      <c r="G11" s="7"/>
    </row>
    <row r="12" spans="2:11" x14ac:dyDescent="0.25">
      <c r="B12" s="3">
        <v>43831</v>
      </c>
      <c r="C12" s="3">
        <v>44074</v>
      </c>
      <c r="D12" s="4">
        <v>1350000</v>
      </c>
      <c r="E12" s="4">
        <f t="shared" si="2"/>
        <v>241</v>
      </c>
      <c r="F12" s="5">
        <f t="shared" si="3"/>
        <v>903750</v>
      </c>
      <c r="G12" s="7"/>
    </row>
    <row r="13" spans="2:11" x14ac:dyDescent="0.25">
      <c r="B13" s="31" t="s">
        <v>7</v>
      </c>
      <c r="C13" s="31"/>
      <c r="D13" s="31"/>
      <c r="E13" s="31"/>
      <c r="F13" s="6">
        <f>SUM(F9:F12)</f>
        <v>2723857.4277777779</v>
      </c>
      <c r="G13" s="7"/>
    </row>
    <row r="14" spans="2:11" x14ac:dyDescent="0.25">
      <c r="B14" s="7"/>
      <c r="C14" s="7"/>
      <c r="D14" s="7"/>
      <c r="E14" s="7"/>
      <c r="F14" s="7"/>
      <c r="G14" s="7"/>
    </row>
    <row r="15" spans="2:11" x14ac:dyDescent="0.25">
      <c r="B15" s="1" t="s">
        <v>2</v>
      </c>
      <c r="C15" s="1" t="s">
        <v>3</v>
      </c>
      <c r="D15" s="1" t="s">
        <v>4</v>
      </c>
      <c r="E15" s="1" t="s">
        <v>5</v>
      </c>
      <c r="F15" s="2" t="s">
        <v>10</v>
      </c>
      <c r="G15" s="7"/>
    </row>
    <row r="16" spans="2:11" x14ac:dyDescent="0.25">
      <c r="B16" s="3">
        <v>43092</v>
      </c>
      <c r="C16" s="3">
        <v>43100</v>
      </c>
      <c r="D16" s="4">
        <v>820857</v>
      </c>
      <c r="E16" s="4">
        <f>DAYS360(B16,C16)+1</f>
        <v>9</v>
      </c>
      <c r="F16" s="5">
        <f>(D16*E16)/360</f>
        <v>20521.424999999999</v>
      </c>
      <c r="G16" s="7"/>
    </row>
    <row r="17" spans="2:9" x14ac:dyDescent="0.25">
      <c r="B17" s="3">
        <v>43101</v>
      </c>
      <c r="C17" s="3">
        <v>43465</v>
      </c>
      <c r="D17" s="4">
        <v>869453</v>
      </c>
      <c r="E17" s="4">
        <f t="shared" ref="E17:E19" si="4">DAYS360(B17,C17)+1</f>
        <v>361</v>
      </c>
      <c r="F17" s="5">
        <f t="shared" ref="F17:F19" si="5">(D17*E17)/360</f>
        <v>871868.14722222218</v>
      </c>
      <c r="G17" s="7"/>
    </row>
    <row r="18" spans="2:9" x14ac:dyDescent="0.25">
      <c r="B18" s="3">
        <v>43466</v>
      </c>
      <c r="C18" s="3">
        <v>43830</v>
      </c>
      <c r="D18" s="4">
        <v>925148</v>
      </c>
      <c r="E18" s="4">
        <f t="shared" si="4"/>
        <v>361</v>
      </c>
      <c r="F18" s="5">
        <f t="shared" si="5"/>
        <v>927717.85555555555</v>
      </c>
      <c r="G18" s="7"/>
    </row>
    <row r="19" spans="2:9" x14ac:dyDescent="0.25">
      <c r="B19" s="3">
        <v>43831</v>
      </c>
      <c r="C19" s="3">
        <v>44074</v>
      </c>
      <c r="D19" s="4">
        <v>1350000</v>
      </c>
      <c r="E19" s="4">
        <f t="shared" si="4"/>
        <v>241</v>
      </c>
      <c r="F19" s="5">
        <f t="shared" si="5"/>
        <v>903750</v>
      </c>
      <c r="G19" s="7"/>
    </row>
    <row r="20" spans="2:9" x14ac:dyDescent="0.25">
      <c r="B20" s="31" t="s">
        <v>7</v>
      </c>
      <c r="C20" s="31"/>
      <c r="D20" s="31"/>
      <c r="E20" s="31"/>
      <c r="F20" s="6">
        <f>SUM(F16:F19)</f>
        <v>2723857.4277777779</v>
      </c>
      <c r="G20" s="7"/>
    </row>
    <row r="21" spans="2:9" x14ac:dyDescent="0.25">
      <c r="B21" s="7"/>
      <c r="C21" s="7"/>
      <c r="D21" s="7"/>
      <c r="E21" s="7"/>
      <c r="F21" s="7"/>
      <c r="G21" s="7"/>
    </row>
    <row r="22" spans="2:9" x14ac:dyDescent="0.25">
      <c r="B22" s="1" t="s">
        <v>2</v>
      </c>
      <c r="C22" s="1" t="s">
        <v>3</v>
      </c>
      <c r="D22" s="1" t="s">
        <v>10</v>
      </c>
      <c r="E22" s="1" t="s">
        <v>5</v>
      </c>
      <c r="F22" s="2" t="s">
        <v>11</v>
      </c>
      <c r="G22" s="7"/>
    </row>
    <row r="23" spans="2:9" x14ac:dyDescent="0.25">
      <c r="B23" s="3">
        <v>43092</v>
      </c>
      <c r="C23" s="3">
        <v>43100</v>
      </c>
      <c r="D23" s="4">
        <f>F16</f>
        <v>20521.424999999999</v>
      </c>
      <c r="E23" s="4">
        <f>DAYS360(B23,C23)+1</f>
        <v>9</v>
      </c>
      <c r="F23" s="4">
        <f>(D23*E23*0.12)/360</f>
        <v>61.564274999999988</v>
      </c>
      <c r="G23" s="7"/>
    </row>
    <row r="24" spans="2:9" x14ac:dyDescent="0.25">
      <c r="B24" s="3">
        <v>43101</v>
      </c>
      <c r="C24" s="3">
        <v>43465</v>
      </c>
      <c r="D24" s="4">
        <f>F17</f>
        <v>871868.14722222218</v>
      </c>
      <c r="E24" s="4">
        <f t="shared" ref="E24:E26" si="6">DAYS360(B24,C24)+1</f>
        <v>361</v>
      </c>
      <c r="F24" s="4">
        <f t="shared" ref="F24:F26" si="7">(D24*E24*0.12)/360</f>
        <v>104914.8003824074</v>
      </c>
      <c r="G24" s="7"/>
    </row>
    <row r="25" spans="2:9" x14ac:dyDescent="0.25">
      <c r="B25" s="3">
        <v>43466</v>
      </c>
      <c r="C25" s="3">
        <v>43830</v>
      </c>
      <c r="D25" s="4">
        <f>F18</f>
        <v>927717.85555555555</v>
      </c>
      <c r="E25" s="4">
        <f t="shared" si="6"/>
        <v>361</v>
      </c>
      <c r="F25" s="4">
        <f t="shared" si="7"/>
        <v>111635.38195185183</v>
      </c>
      <c r="G25" s="7"/>
    </row>
    <row r="26" spans="2:9" x14ac:dyDescent="0.25">
      <c r="B26" s="3">
        <v>43831</v>
      </c>
      <c r="C26" s="3">
        <v>44074</v>
      </c>
      <c r="D26" s="4">
        <f>F19</f>
        <v>903750</v>
      </c>
      <c r="E26" s="4">
        <f t="shared" si="6"/>
        <v>241</v>
      </c>
      <c r="F26" s="4">
        <f t="shared" si="7"/>
        <v>72601.25</v>
      </c>
      <c r="G26" s="7"/>
    </row>
    <row r="27" spans="2:9" x14ac:dyDescent="0.25">
      <c r="B27" s="31" t="s">
        <v>7</v>
      </c>
      <c r="C27" s="31"/>
      <c r="D27" s="31"/>
      <c r="E27" s="31"/>
      <c r="F27" s="6">
        <f>SUM(F23:F26)</f>
        <v>289212.99660925922</v>
      </c>
      <c r="G27" s="7"/>
    </row>
    <row r="28" spans="2:9" x14ac:dyDescent="0.25">
      <c r="B28" s="7"/>
      <c r="C28" s="7"/>
      <c r="D28" s="7"/>
      <c r="E28" s="7"/>
      <c r="F28" s="7"/>
      <c r="G28" s="7"/>
    </row>
    <row r="29" spans="2:9" x14ac:dyDescent="0.25">
      <c r="B29" s="34" t="s">
        <v>15</v>
      </c>
      <c r="C29" s="34"/>
      <c r="D29" s="34"/>
      <c r="E29" s="34"/>
      <c r="F29" s="34"/>
      <c r="G29" s="34"/>
      <c r="H29" s="34"/>
      <c r="I29" s="34"/>
    </row>
    <row r="30" spans="2:9" x14ac:dyDescent="0.25">
      <c r="B30" s="32"/>
      <c r="C30" s="32"/>
      <c r="D30" s="32"/>
      <c r="E30" s="19" t="s">
        <v>16</v>
      </c>
      <c r="F30" s="19" t="s">
        <v>17</v>
      </c>
      <c r="G30" s="19" t="s">
        <v>18</v>
      </c>
      <c r="H30" s="33" t="s">
        <v>19</v>
      </c>
      <c r="I30" s="33"/>
    </row>
    <row r="31" spans="2:9" x14ac:dyDescent="0.25">
      <c r="B31" s="30" t="s">
        <v>20</v>
      </c>
      <c r="C31" s="30"/>
      <c r="D31" s="30"/>
      <c r="E31" s="11">
        <v>2020</v>
      </c>
      <c r="F31" s="11">
        <v>8</v>
      </c>
      <c r="G31" s="20">
        <v>31</v>
      </c>
      <c r="H31" s="22" t="s">
        <v>21</v>
      </c>
      <c r="I31" s="23" t="s">
        <v>22</v>
      </c>
    </row>
    <row r="32" spans="2:9" x14ac:dyDescent="0.25">
      <c r="B32" s="30" t="s">
        <v>23</v>
      </c>
      <c r="C32" s="30"/>
      <c r="D32" s="30"/>
      <c r="E32" s="16">
        <v>2017</v>
      </c>
      <c r="F32" s="16">
        <v>12</v>
      </c>
      <c r="G32" s="21">
        <v>23</v>
      </c>
      <c r="H32" s="24">
        <f>(E31-E32)*360+(F31-F32)*30+(G31-G32+1)</f>
        <v>969</v>
      </c>
      <c r="I32" s="25">
        <f>H32/360</f>
        <v>2.6916666666666669</v>
      </c>
    </row>
    <row r="33" spans="2:9" x14ac:dyDescent="0.25">
      <c r="B33" s="30" t="s">
        <v>24</v>
      </c>
      <c r="C33" s="30"/>
      <c r="D33" s="30"/>
      <c r="E33" s="44">
        <v>1350000</v>
      </c>
      <c r="F33" s="44"/>
      <c r="G33" s="44"/>
      <c r="H33" s="44"/>
      <c r="I33" s="44"/>
    </row>
    <row r="34" spans="2:9" x14ac:dyDescent="0.25">
      <c r="B34" s="30" t="s">
        <v>25</v>
      </c>
      <c r="C34" s="30"/>
      <c r="D34" s="30"/>
      <c r="E34" s="29">
        <f>E33/30</f>
        <v>45000</v>
      </c>
      <c r="F34" s="29"/>
      <c r="G34" s="29"/>
      <c r="H34" s="29"/>
      <c r="I34" s="29"/>
    </row>
    <row r="35" spans="2:9" x14ac:dyDescent="0.25">
      <c r="B35" s="30" t="s">
        <v>26</v>
      </c>
      <c r="C35" s="30"/>
      <c r="D35" s="30"/>
      <c r="E35" s="29">
        <f>E33</f>
        <v>1350000</v>
      </c>
      <c r="F35" s="29"/>
      <c r="G35" s="29"/>
      <c r="H35" s="29"/>
      <c r="I35" s="29"/>
    </row>
    <row r="36" spans="2:9" x14ac:dyDescent="0.25">
      <c r="B36" s="30" t="s">
        <v>27</v>
      </c>
      <c r="C36" s="30"/>
      <c r="D36" s="30"/>
      <c r="E36" s="17">
        <f>I32-1</f>
        <v>1.6916666666666669</v>
      </c>
      <c r="F36" s="29">
        <f>E36*20*E34</f>
        <v>1522500</v>
      </c>
      <c r="G36" s="29"/>
      <c r="H36" s="29"/>
      <c r="I36" s="29"/>
    </row>
    <row r="37" spans="2:9" x14ac:dyDescent="0.25">
      <c r="B37" s="42" t="s">
        <v>28</v>
      </c>
      <c r="C37" s="42"/>
      <c r="D37" s="42"/>
      <c r="E37" s="12"/>
      <c r="F37" s="37">
        <f>E35+F36</f>
        <v>2872500</v>
      </c>
      <c r="G37" s="37"/>
      <c r="H37" s="37"/>
      <c r="I37" s="37"/>
    </row>
    <row r="38" spans="2:9" x14ac:dyDescent="0.25">
      <c r="B38" s="7"/>
      <c r="C38" s="7"/>
      <c r="D38" s="7"/>
      <c r="E38" s="7"/>
      <c r="F38" s="7"/>
      <c r="G38" s="7"/>
    </row>
    <row r="39" spans="2:9" x14ac:dyDescent="0.25">
      <c r="B39" s="34" t="s">
        <v>29</v>
      </c>
      <c r="C39" s="34"/>
      <c r="D39" s="34"/>
      <c r="E39" s="34"/>
      <c r="F39" s="34"/>
      <c r="G39" s="7"/>
    </row>
    <row r="40" spans="2:9" x14ac:dyDescent="0.25">
      <c r="B40" s="40" t="s">
        <v>30</v>
      </c>
      <c r="C40" s="40"/>
      <c r="D40" s="40" t="s">
        <v>31</v>
      </c>
      <c r="E40" s="40"/>
      <c r="F40" s="10" t="s">
        <v>32</v>
      </c>
      <c r="G40" s="7"/>
    </row>
    <row r="41" spans="2:9" x14ac:dyDescent="0.25">
      <c r="B41" s="36">
        <f>(1350000/30)</f>
        <v>45000</v>
      </c>
      <c r="C41" s="36"/>
      <c r="D41" s="38">
        <v>720</v>
      </c>
      <c r="E41" s="38"/>
      <c r="F41" s="27">
        <f>B41*D41</f>
        <v>32400000</v>
      </c>
      <c r="G41" s="7"/>
    </row>
    <row r="42" spans="2:9" x14ac:dyDescent="0.25">
      <c r="B42" s="7"/>
      <c r="C42" s="7"/>
      <c r="D42" s="7"/>
      <c r="E42" s="7"/>
      <c r="F42" s="7"/>
      <c r="G42" s="7"/>
    </row>
    <row r="43" spans="2:9" x14ac:dyDescent="0.25">
      <c r="B43" s="35" t="s">
        <v>33</v>
      </c>
      <c r="C43" s="35"/>
      <c r="D43" s="35"/>
      <c r="E43" s="35"/>
      <c r="F43" s="26">
        <f>SUM(F37+F27+F20+F13+F6+F41)</f>
        <v>45059427.85216482</v>
      </c>
      <c r="G43" s="7"/>
    </row>
    <row r="44" spans="2:9" x14ac:dyDescent="0.25">
      <c r="B44" s="7"/>
      <c r="C44" s="7"/>
      <c r="D44" s="7"/>
      <c r="E44" s="7"/>
      <c r="F44" s="7"/>
      <c r="G44" s="7"/>
    </row>
    <row r="45" spans="2:9" ht="15" customHeight="1" x14ac:dyDescent="0.25">
      <c r="B45" s="45" t="s">
        <v>37</v>
      </c>
      <c r="C45" s="45"/>
      <c r="D45" s="45"/>
      <c r="E45" s="45"/>
      <c r="F45" s="45"/>
      <c r="G45" s="7"/>
    </row>
    <row r="46" spans="2:9" x14ac:dyDescent="0.25">
      <c r="B46" s="45"/>
      <c r="C46" s="45"/>
      <c r="D46" s="45"/>
      <c r="E46" s="45"/>
      <c r="F46" s="45"/>
      <c r="G46" s="7"/>
    </row>
    <row r="47" spans="2:9" x14ac:dyDescent="0.25">
      <c r="B47" s="45"/>
      <c r="C47" s="45"/>
      <c r="D47" s="45"/>
      <c r="E47" s="45"/>
      <c r="F47" s="45"/>
    </row>
    <row r="48" spans="2:9" x14ac:dyDescent="0.25">
      <c r="B48" s="45"/>
      <c r="C48" s="45"/>
      <c r="D48" s="45"/>
      <c r="E48" s="45"/>
      <c r="F48" s="45"/>
    </row>
  </sheetData>
  <mergeCells count="29">
    <mergeCell ref="B32:D32"/>
    <mergeCell ref="B1:F1"/>
    <mergeCell ref="H2:K4"/>
    <mergeCell ref="B6:E6"/>
    <mergeCell ref="H6:K9"/>
    <mergeCell ref="B13:E13"/>
    <mergeCell ref="B20:E20"/>
    <mergeCell ref="B27:E27"/>
    <mergeCell ref="B29:I29"/>
    <mergeCell ref="B30:D30"/>
    <mergeCell ref="H30:I30"/>
    <mergeCell ref="B31:D31"/>
    <mergeCell ref="B45:F48"/>
    <mergeCell ref="B33:D33"/>
    <mergeCell ref="E33:I33"/>
    <mergeCell ref="B34:D34"/>
    <mergeCell ref="E34:I34"/>
    <mergeCell ref="B35:D35"/>
    <mergeCell ref="E35:I35"/>
    <mergeCell ref="B41:C41"/>
    <mergeCell ref="D41:E41"/>
    <mergeCell ref="B43:E43"/>
    <mergeCell ref="B36:D36"/>
    <mergeCell ref="F36:I36"/>
    <mergeCell ref="B37:D37"/>
    <mergeCell ref="F37:I37"/>
    <mergeCell ref="B39:F39"/>
    <mergeCell ref="B40:C40"/>
    <mergeCell ref="D40:E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LIQ. FACTURACIÓN (GU136799)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Daniela Quintero</cp:lastModifiedBy>
  <cp:revision/>
  <dcterms:created xsi:type="dcterms:W3CDTF">2023-05-23T18:21:31Z</dcterms:created>
  <dcterms:modified xsi:type="dcterms:W3CDTF">2023-11-15T16:05:54Z</dcterms:modified>
  <cp:category/>
  <cp:contentStatus/>
</cp:coreProperties>
</file>