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JC\Downloads\"/>
    </mc:Choice>
  </mc:AlternateContent>
  <bookViews>
    <workbookView xWindow="0" yWindow="0" windowWidth="20490" windowHeight="7230"/>
  </bookViews>
  <sheets>
    <sheet name="LIQ. PRETENSIONES DEMANDA" sheetId="13" r:id="rId1"/>
    <sheet name=" HRS EXTRAS - PROM SALARIO" sheetId="16" r:id="rId2"/>
    <sheet name="PML" sheetId="1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5" l="1"/>
  <c r="F25" i="15" l="1"/>
  <c r="D25" i="15"/>
  <c r="G25" i="15" s="1"/>
  <c r="D11" i="15"/>
  <c r="D6" i="15"/>
  <c r="B44" i="13"/>
  <c r="F44" i="13" s="1"/>
  <c r="E33" i="13"/>
  <c r="E32" i="13"/>
  <c r="H30" i="13"/>
  <c r="I30" i="13" s="1"/>
  <c r="E34" i="13" s="1"/>
  <c r="F34" i="13" s="1"/>
  <c r="F35" i="13" l="1"/>
  <c r="D14" i="13" l="1"/>
  <c r="D13" i="13"/>
  <c r="D9" i="13"/>
  <c r="D8" i="13"/>
  <c r="L24" i="16"/>
  <c r="I24" i="16"/>
  <c r="L21" i="16"/>
  <c r="I21" i="16"/>
  <c r="E6" i="15"/>
  <c r="E39" i="13"/>
  <c r="F39" i="13" s="1"/>
  <c r="F40" i="13" s="1"/>
  <c r="E23" i="13"/>
  <c r="F23" i="13" s="1"/>
  <c r="E18" i="13"/>
  <c r="D18" i="13"/>
  <c r="E13" i="13"/>
  <c r="F13" i="13" s="1"/>
  <c r="E8" i="13"/>
  <c r="D70" i="13"/>
  <c r="F70" i="13" s="1"/>
  <c r="D69" i="13"/>
  <c r="F69" i="13" s="1"/>
  <c r="D68" i="13"/>
  <c r="F68" i="13" s="1"/>
  <c r="D67" i="13"/>
  <c r="F67" i="13" s="1"/>
  <c r="D66" i="13"/>
  <c r="F66" i="13" s="1"/>
  <c r="D65" i="13"/>
  <c r="F65" i="13" s="1"/>
  <c r="D59" i="13"/>
  <c r="F59" i="13" s="1"/>
  <c r="D58" i="13"/>
  <c r="F58" i="13" s="1"/>
  <c r="D57" i="13"/>
  <c r="F57" i="13" s="1"/>
  <c r="D56" i="13"/>
  <c r="F56" i="13" s="1"/>
  <c r="D55" i="13"/>
  <c r="F55" i="13" s="1"/>
  <c r="D54" i="13"/>
  <c r="F54" i="13" s="1"/>
  <c r="E9" i="13"/>
  <c r="D26" i="16"/>
  <c r="F26" i="16" s="1"/>
  <c r="F25" i="16"/>
  <c r="D25" i="16"/>
  <c r="D24" i="16"/>
  <c r="F24" i="16" s="1"/>
  <c r="D23" i="16"/>
  <c r="F23" i="16" s="1"/>
  <c r="D22" i="16"/>
  <c r="F22" i="16" s="1"/>
  <c r="D21" i="16"/>
  <c r="F21" i="16" s="1"/>
  <c r="F11" i="16"/>
  <c r="F15" i="16" s="1"/>
  <c r="D11" i="16"/>
  <c r="F14" i="16"/>
  <c r="D14" i="16"/>
  <c r="F13" i="16"/>
  <c r="D13" i="16"/>
  <c r="F12" i="16"/>
  <c r="D12" i="16"/>
  <c r="F10" i="16"/>
  <c r="D10" i="16"/>
  <c r="D9" i="16"/>
  <c r="F9" i="16"/>
  <c r="F8" i="13" l="1"/>
  <c r="F18" i="13"/>
  <c r="F60" i="13"/>
  <c r="F71" i="13"/>
  <c r="F27" i="16"/>
  <c r="E15" i="15" l="1"/>
  <c r="E11" i="15"/>
  <c r="F11" i="15" s="1"/>
  <c r="F12" i="15" l="1"/>
  <c r="D15" i="15"/>
  <c r="F15" i="15" s="1"/>
  <c r="F16" i="15" s="1"/>
  <c r="F48" i="13"/>
  <c r="E48" i="13"/>
  <c r="G48" i="13" l="1"/>
  <c r="G49" i="13" s="1"/>
  <c r="E19" i="15"/>
  <c r="F19" i="15" s="1"/>
  <c r="F20" i="15" s="1"/>
  <c r="F6" i="15"/>
  <c r="F7" i="15" l="1"/>
  <c r="E14" i="13" l="1"/>
  <c r="E24" i="13" l="1"/>
  <c r="F24" i="13" s="1"/>
  <c r="F25" i="13" s="1"/>
  <c r="E19" i="13"/>
  <c r="F14" i="13"/>
  <c r="F9" i="13"/>
  <c r="F10" i="13" s="1"/>
  <c r="D19" i="13" l="1"/>
  <c r="F19" i="13" s="1"/>
  <c r="F20" i="13" s="1"/>
  <c r="F15" i="13"/>
  <c r="F73" i="13" s="1"/>
</calcChain>
</file>

<file path=xl/sharedStrings.xml><?xml version="1.0" encoding="utf-8"?>
<sst xmlns="http://schemas.openxmlformats.org/spreadsheetml/2006/main" count="159" uniqueCount="67">
  <si>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</si>
  <si>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</si>
  <si>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</si>
  <si>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</si>
  <si>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</si>
  <si>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</si>
  <si>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</si>
  <si>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</si>
  <si>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</si>
  <si>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</si>
  <si>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</si>
  <si>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</si>
  <si>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</si>
  <si>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</si>
  <si>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</si>
  <si>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Días</t>
  </si>
  <si>
    <t>Años</t>
  </si>
  <si>
    <t>Ingreso Mensual:</t>
  </si>
  <si>
    <t>Ingreso Diario:</t>
  </si>
  <si>
    <t>Total Indemnizacón:</t>
  </si>
  <si>
    <t>SANCIÓN POR NO CONSIGNACIÓN DE CESANTÍAS</t>
  </si>
  <si>
    <t>SANCIÓN</t>
  </si>
  <si>
    <t>INDEMNIZACIÓN DEL ARTÍCULO 65 DEL C.S.T.</t>
  </si>
  <si>
    <t>DIAS</t>
  </si>
  <si>
    <t>SALARIO DIARIO</t>
  </si>
  <si>
    <t>Total</t>
  </si>
  <si>
    <t xml:space="preserve">SALARIO </t>
  </si>
  <si>
    <t>SALARIO DEJADO DE PERCIBIR</t>
  </si>
  <si>
    <t>Total Liquidación:</t>
  </si>
  <si>
    <t>Teniendo en cuenta que la demandante presuntamente debia devengar menos de 2 SMMLV, para el calculo de las primas y cesantías se incluyó el Aux. de transporte</t>
  </si>
  <si>
    <t>HORAS EXTRAS 2019</t>
  </si>
  <si>
    <t>VALOR HORA 2019</t>
  </si>
  <si>
    <t>CONCEPTO</t>
  </si>
  <si>
    <t>VALOR HR EXTRA</t>
  </si>
  <si>
    <t>TOTAL HRS EXTRA</t>
  </si>
  <si>
    <t>HR. EXTRA DOM NOC</t>
  </si>
  <si>
    <t>HR EXTRA ORD NOCT</t>
  </si>
  <si>
    <t>HR EXTRA ORD DIURNA</t>
  </si>
  <si>
    <t>HR. EXTRA FEST DIURNO</t>
  </si>
  <si>
    <t>HR. EXTRA FEST NOCT</t>
  </si>
  <si>
    <t>TOTAL:</t>
  </si>
  <si>
    <t>HORAS EXTRAS 2020</t>
  </si>
  <si>
    <t>HR EXTRA DOM DIURNA</t>
  </si>
  <si>
    <t>VALOR HORA 2020</t>
  </si>
  <si>
    <t xml:space="preserve">"*Nota:  La vigencia de la póliza No. 05 GU136799 inicia el 23/06/2017 y fenece el 23/06/2019. La actora solicita el pago de prestaciones sociales, vacaciones, indemnización del art. 64 y 65 del CST y la indemnización por consignación de cesantías
"   
</t>
  </si>
  <si>
    <t xml:space="preserve">*Nota 3: Conforme al clausulado que nos envió la compañía, las pólizas amparan el pago de salarios, prestaciones sociales e indemnizaciones laborales. Sin embargo, por instrucción de la cía se incluyen las vacaciones para el calculo del PML  
</t>
  </si>
  <si>
    <t>PROMEDIO HRS EXTRAS MENSUAL 2019</t>
  </si>
  <si>
    <t>PROMEDIO HRS EXTRAS MENSUAL 2020</t>
  </si>
  <si>
    <t>SALARIO 2019</t>
  </si>
  <si>
    <t>SALARIO 2020</t>
  </si>
  <si>
    <t>Fecha de Terminación:</t>
  </si>
  <si>
    <t>Fecha de Ingreso:</t>
  </si>
  <si>
    <t>Indemnización primer año</t>
  </si>
  <si>
    <t>Indemnización años adicionales:</t>
  </si>
  <si>
    <t>Salario diario</t>
  </si>
  <si>
    <t>x 720 días</t>
  </si>
  <si>
    <t>Nota : Las pretensiones de la demanda van encaminadas a que: (I) Que se declare la demandante y el sindicato SINTRASANT existió un contrato laboral a término indefinido desde el 19/01/2019 al 30/09/2020 y que el mismo fue producto de un despido unilateral e injusto, (ii) Se declare la solidaridad entre la E.S.E. HOSPITAL CÉSAR URIBE PIEDRAHITA y EL MUNICIPIO DE BERRÍO con el sindicato SINTRASANT, (iii) que las demandadas en solidaridad reconozcan el pago de: bono no salarial, salarios de junio, julio y agosto de 2020, horas extras, vacaciones, cesantías, intereses a las cesantías, prima de servicios, sanción por no depósito de cesantías a un fondo, indemnización por terminación sin justa causa, indemnización moratoria por el no pago de acreencias laborales,  y, (vi) Se condene al pago de costas.</t>
  </si>
  <si>
    <t>*Nota 2: No se liquida:  la sanción del Art. 65 CST y del Art. 99 de la Ley 50 de 1990, comoquiera que la mora no se causó dentro la vigencia de la póliza</t>
  </si>
  <si>
    <t>Al salario se le incluyó el promedio de las horas extras solicitadas por la demandante</t>
  </si>
  <si>
    <t xml:space="preserve">DESDE </t>
  </si>
  <si>
    <t>VALOR PROMEDIO MENSUAL HRS EXTRA</t>
  </si>
  <si>
    <t>VALOR DIARIO HRS EXTRAS</t>
  </si>
  <si>
    <t>TOTAL</t>
  </si>
  <si>
    <t>Se tuvo en cuenta la documental aportada al plenario para determinar el valor de a hora</t>
  </si>
  <si>
    <t>HORAS EXTRA 2019 - CONSTITUTIVO DE SALARIO</t>
  </si>
  <si>
    <t>HORAS EXTRAS 2020 - CONSTITUTIVO DE SALARIO</t>
  </si>
  <si>
    <t>HORAS EXTRAS 2019 - CONSTITUTIVO DE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</si>
</sst>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  <numFmt numFmtId="170" formatCode="&quot;$&quot;\ 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0" fontId="11" fillId="0" borderId="7" xfId="0" applyFont="1" applyBorder="1" applyAlignment="1">
      <alignment wrapText="1"/>
    </xf>
    <xf numFmtId="8" fontId="8" fillId="0" borderId="0" xfId="20" applyNumberFormat="1" applyFont="1" applyFill="1" applyBorder="1" applyAlignment="1">
      <alignment horizontal="center"/>
    </xf>
    <xf numFmtId="44" fontId="8" fillId="0" borderId="0" xfId="2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9" fontId="6" fillId="0" borderId="0" xfId="0" applyNumberFormat="1" applyFont="1"/>
    <xf numFmtId="42" fontId="8" fillId="0" borderId="1" xfId="21" applyFont="1" applyBorder="1"/>
    <xf numFmtId="42" fontId="6" fillId="3" borderId="1" xfId="0" applyNumberFormat="1" applyFont="1" applyFill="1" applyBorder="1"/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164" fontId="6" fillId="2" borderId="2" xfId="1" applyNumberFormat="1" applyFont="1" applyFill="1" applyBorder="1" applyAlignment="1">
      <alignment horizontal="center"/>
    </xf>
    <xf numFmtId="164" fontId="8" fillId="0" borderId="2" xfId="1" applyNumberFormat="1" applyFont="1" applyFill="1" applyBorder="1"/>
    <xf numFmtId="164" fontId="6" fillId="3" borderId="2" xfId="1" applyNumberFormat="1" applyFont="1" applyFill="1" applyBorder="1"/>
    <xf numFmtId="169" fontId="6" fillId="3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42" fontId="6" fillId="6" borderId="1" xfId="21" applyFont="1" applyFill="1" applyBorder="1" applyAlignment="1">
      <alignment horizontal="center" wrapText="1"/>
    </xf>
    <xf numFmtId="42" fontId="8" fillId="0" borderId="1" xfId="2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0" fontId="8" fillId="7" borderId="1" xfId="0" applyNumberFormat="1" applyFont="1" applyFill="1" applyBorder="1" applyAlignment="1">
      <alignment vertical="center"/>
    </xf>
    <xf numFmtId="42" fontId="8" fillId="0" borderId="1" xfId="0" applyNumberFormat="1" applyFont="1" applyBorder="1" applyAlignment="1">
      <alignment vertical="center"/>
    </xf>
    <xf numFmtId="170" fontId="6" fillId="3" borderId="1" xfId="0" applyNumberFormat="1" applyFont="1" applyFill="1" applyBorder="1" applyAlignment="1">
      <alignment vertical="center"/>
    </xf>
    <xf numFmtId="14" fontId="8" fillId="0" borderId="0" xfId="0" applyNumberFormat="1" applyFont="1"/>
    <xf numFmtId="0" fontId="0" fillId="0" borderId="0" xfId="0" applyBorder="1"/>
    <xf numFmtId="0" fontId="3" fillId="0" borderId="0" xfId="0" applyFont="1" applyBorder="1"/>
    <xf numFmtId="0" fontId="8" fillId="0" borderId="0" xfId="0" applyFont="1" applyFill="1" applyAlignment="1">
      <alignment wrapText="1"/>
    </xf>
    <xf numFmtId="0" fontId="3" fillId="0" borderId="0" xfId="0" applyFont="1" applyFill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/>
    <xf numFmtId="0" fontId="14" fillId="0" borderId="1" xfId="0" applyFont="1" applyBorder="1" applyAlignment="1">
      <alignment horizontal="center"/>
    </xf>
    <xf numFmtId="3" fontId="13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3" fontId="14" fillId="8" borderId="1" xfId="0" applyNumberFormat="1" applyFont="1" applyFill="1" applyBorder="1"/>
    <xf numFmtId="14" fontId="8" fillId="0" borderId="1" xfId="0" applyNumberFormat="1" applyFont="1" applyFill="1" applyBorder="1" applyAlignment="1">
      <alignment horizontal="center"/>
    </xf>
    <xf numFmtId="41" fontId="8" fillId="0" borderId="1" xfId="22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8" fontId="8" fillId="0" borderId="0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8" fillId="0" borderId="15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1" fontId="8" fillId="0" borderId="1" xfId="22" applyFont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2" fontId="8" fillId="0" borderId="2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8" fontId="8" fillId="0" borderId="1" xfId="20" applyNumberFormat="1" applyFont="1" applyBorder="1" applyAlignment="1">
      <alignment horizontal="center"/>
    </xf>
    <xf numFmtId="44" fontId="8" fillId="0" borderId="1" xfId="2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2" fontId="8" fillId="2" borderId="1" xfId="2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1" fontId="4" fillId="0" borderId="2" xfId="22" applyFont="1" applyBorder="1" applyAlignment="1">
      <alignment horizontal="center" vertical="center"/>
    </xf>
    <xf numFmtId="41" fontId="4" fillId="0" borderId="9" xfId="22" applyFont="1" applyBorder="1" applyAlignment="1">
      <alignment horizontal="center" vertical="center"/>
    </xf>
    <xf numFmtId="41" fontId="4" fillId="0" borderId="10" xfId="22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1" fontId="4" fillId="0" borderId="1" xfId="22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170" fontId="8" fillId="0" borderId="1" xfId="0" applyNumberFormat="1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3" fillId="5" borderId="0" xfId="0" applyFont="1" applyFill="1" applyAlignment="1">
      <alignment horizontal="center" vertical="top" wrapText="1"/>
    </xf>
    <xf numFmtId="0" fontId="13" fillId="5" borderId="0" xfId="0" applyFont="1" applyFill="1" applyAlignment="1">
      <alignment horizontal="center" vertical="center" wrapText="1"/>
    </xf>
  </cellXfs>
  <cellStyles count="23">
    <cellStyle name="Millares" xfId="1" builtinId="3"/>
    <cellStyle name="Millares [0]" xfId="22" builtinId="6"/>
    <cellStyle name="Millares [0] 2" xfId="3"/>
    <cellStyle name="Millares 2" xfId="8"/>
    <cellStyle name="Millares 3" xfId="10"/>
    <cellStyle name="Millares 4" xfId="6"/>
    <cellStyle name="Millares 5" xfId="12"/>
    <cellStyle name="Millares 6" xfId="15"/>
    <cellStyle name="Millares 7" xfId="16"/>
    <cellStyle name="Millares 8" xfId="18"/>
    <cellStyle name="Moneda" xfId="20" builtinId="4"/>
    <cellStyle name="Moneda [0]" xfId="21" builtinId="7"/>
    <cellStyle name="Moneda [0] 2" xfId="5"/>
    <cellStyle name="Moneda 2" xfId="4"/>
    <cellStyle name="Moneda 3" xfId="9"/>
    <cellStyle name="Moneda 4" xfId="11"/>
    <cellStyle name="Moneda 5" xfId="7"/>
    <cellStyle name="Moneda 6" xfId="13"/>
    <cellStyle name="Moneda 7" xfId="14"/>
    <cellStyle name="Moneda 8" xfId="17"/>
    <cellStyle name="Moneda 9" xf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431721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431721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7</xdr:row>
      <xdr:rowOff>161925</xdr:rowOff>
    </xdr:from>
    <xdr:to>
      <xdr:col>15</xdr:col>
      <xdr:colOff>19824</xdr:colOff>
      <xdr:row>17</xdr:row>
      <xdr:rowOff>9799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1685925"/>
          <a:ext cx="5544324" cy="1962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74"/>
  <sheetViews>
    <sheetView tabSelected="1" workbookViewId="0">
      <selection activeCell="B52" sqref="B52:D52"/>
    </sheetView>
  </sheetViews>
  <sheetFormatPr baseColWidth="10" defaultColWidth="11.42578125" defaultRowHeight="15" x14ac:dyDescent="0.25"/>
  <cols>
    <col min="2" max="2" width="16.42578125" style="1" customWidth="1"/>
    <col min="3" max="3" width="11.42578125" style="1"/>
    <col min="4" max="4" width="12.42578125" style="1" bestFit="1" customWidth="1"/>
    <col min="5" max="5" width="13.85546875" style="1" customWidth="1"/>
    <col min="6" max="6" width="18.85546875" style="1" customWidth="1"/>
    <col min="7" max="7" width="17.42578125" style="1" customWidth="1"/>
    <col min="11" max="11" width="12.5703125" customWidth="1"/>
  </cols>
  <sheetData>
    <row r="4" spans="1:18" x14ac:dyDescent="0.25">
      <c r="J4" s="100" t="s">
        <v>56</v>
      </c>
      <c r="K4" s="100"/>
      <c r="L4" s="100"/>
      <c r="M4" s="100"/>
      <c r="N4" s="100"/>
      <c r="O4" s="100"/>
      <c r="P4" s="100"/>
      <c r="Q4" s="100"/>
      <c r="R4" s="100"/>
    </row>
    <row r="5" spans="1:18" s="1" customFormat="1" ht="15" customHeight="1" x14ac:dyDescent="0.2">
      <c r="A5" s="11"/>
      <c r="B5" s="122" t="s">
        <v>0</v>
      </c>
      <c r="C5" s="122"/>
      <c r="D5" s="122"/>
      <c r="E5" s="122"/>
      <c r="F5" s="122"/>
      <c r="G5" s="11"/>
      <c r="H5" s="11"/>
      <c r="I5" s="11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00"/>
      <c r="K6" s="100"/>
      <c r="L6" s="100"/>
      <c r="M6" s="100"/>
      <c r="N6" s="100"/>
      <c r="O6" s="100"/>
      <c r="P6" s="100"/>
      <c r="Q6" s="100"/>
      <c r="R6" s="100"/>
    </row>
    <row r="7" spans="1:18" ht="30" customHeight="1" x14ac:dyDescent="0.25">
      <c r="A7" s="11"/>
      <c r="B7" s="12" t="s">
        <v>1</v>
      </c>
      <c r="C7" s="12" t="s">
        <v>2</v>
      </c>
      <c r="D7" s="12" t="s">
        <v>3</v>
      </c>
      <c r="E7" s="12" t="s">
        <v>4</v>
      </c>
      <c r="F7" s="17" t="s">
        <v>5</v>
      </c>
      <c r="G7" s="128" t="s">
        <v>29</v>
      </c>
      <c r="J7" s="100"/>
      <c r="K7" s="100"/>
      <c r="L7" s="100"/>
      <c r="M7" s="100"/>
      <c r="N7" s="100"/>
      <c r="O7" s="100"/>
      <c r="P7" s="100"/>
      <c r="Q7" s="100"/>
      <c r="R7" s="100"/>
    </row>
    <row r="8" spans="1:18" ht="15" customHeight="1" x14ac:dyDescent="0.25">
      <c r="A8" s="11"/>
      <c r="B8" s="58">
        <v>43484</v>
      </c>
      <c r="C8" s="58">
        <v>43830</v>
      </c>
      <c r="D8" s="59">
        <f>1620612+97032</f>
        <v>1717644</v>
      </c>
      <c r="E8" s="61">
        <f>DAYS360(B8,C8)+1</f>
        <v>343</v>
      </c>
      <c r="F8" s="60">
        <f>(D8*E8)/360</f>
        <v>1636533.0333333334</v>
      </c>
      <c r="G8" s="129"/>
      <c r="J8" s="100"/>
      <c r="K8" s="100"/>
      <c r="L8" s="100"/>
      <c r="M8" s="100"/>
      <c r="N8" s="100"/>
      <c r="O8" s="100"/>
      <c r="P8" s="100"/>
      <c r="Q8" s="100"/>
      <c r="R8" s="100"/>
    </row>
    <row r="9" spans="1:18" x14ac:dyDescent="0.25">
      <c r="A9" s="11"/>
      <c r="B9" s="14">
        <v>43831</v>
      </c>
      <c r="C9" s="14">
        <v>44104</v>
      </c>
      <c r="D9" s="15">
        <f>1598000+102854</f>
        <v>1700854</v>
      </c>
      <c r="E9" s="18">
        <f>DAYS360(B9,C9)+1</f>
        <v>270</v>
      </c>
      <c r="F9" s="16">
        <f>(D9*E9)/360</f>
        <v>1275640.5</v>
      </c>
      <c r="G9" s="129"/>
      <c r="H9" s="11"/>
      <c r="J9" s="100"/>
      <c r="K9" s="100"/>
      <c r="L9" s="100"/>
      <c r="M9" s="100"/>
      <c r="N9" s="100"/>
      <c r="O9" s="100"/>
      <c r="P9" s="100"/>
      <c r="Q9" s="100"/>
      <c r="R9" s="100"/>
    </row>
    <row r="10" spans="1:18" ht="15" customHeight="1" x14ac:dyDescent="0.25">
      <c r="A10" s="11"/>
      <c r="B10" s="120" t="s">
        <v>6</v>
      </c>
      <c r="C10" s="120"/>
      <c r="D10" s="120"/>
      <c r="E10" s="120"/>
      <c r="F10" s="19">
        <f>SUM(F8:F9)</f>
        <v>2912173.5333333332</v>
      </c>
      <c r="G10" s="129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ht="15" customHeight="1" x14ac:dyDescent="0.25">
      <c r="A11" s="11"/>
      <c r="B11" s="11"/>
      <c r="C11" s="11"/>
      <c r="D11" s="11"/>
      <c r="E11" s="11"/>
      <c r="F11" s="11"/>
      <c r="G11" s="130"/>
      <c r="J11" s="100"/>
      <c r="K11" s="100"/>
      <c r="L11" s="100"/>
      <c r="M11" s="100"/>
      <c r="N11" s="100"/>
      <c r="O11" s="100"/>
      <c r="P11" s="100"/>
      <c r="Q11" s="100"/>
      <c r="R11" s="100"/>
    </row>
    <row r="12" spans="1:18" x14ac:dyDescent="0.25">
      <c r="A12" s="11"/>
      <c r="B12" s="12" t="s">
        <v>1</v>
      </c>
      <c r="C12" s="12" t="s">
        <v>2</v>
      </c>
      <c r="D12" s="12" t="s">
        <v>3</v>
      </c>
      <c r="E12" s="12" t="s">
        <v>4</v>
      </c>
      <c r="F12" s="17" t="s">
        <v>7</v>
      </c>
      <c r="G12" s="85" t="s">
        <v>58</v>
      </c>
      <c r="J12" s="100"/>
      <c r="K12" s="100"/>
      <c r="L12" s="100"/>
      <c r="M12" s="100"/>
      <c r="N12" s="100"/>
      <c r="O12" s="100"/>
      <c r="P12" s="100"/>
      <c r="Q12" s="100"/>
      <c r="R12" s="100"/>
    </row>
    <row r="13" spans="1:18" x14ac:dyDescent="0.25">
      <c r="A13" s="11"/>
      <c r="B13" s="58">
        <v>43484</v>
      </c>
      <c r="C13" s="58">
        <v>43830</v>
      </c>
      <c r="D13" s="59">
        <f>1620612+97032</f>
        <v>1717644</v>
      </c>
      <c r="E13" s="61">
        <f>DAYS360(B13,C13)+1</f>
        <v>343</v>
      </c>
      <c r="F13" s="60">
        <f>(D13*E13)/360</f>
        <v>1636533.0333333334</v>
      </c>
      <c r="G13" s="85"/>
      <c r="J13" s="100"/>
      <c r="K13" s="100"/>
      <c r="L13" s="100"/>
      <c r="M13" s="100"/>
      <c r="N13" s="100"/>
      <c r="O13" s="100"/>
      <c r="P13" s="100"/>
      <c r="Q13" s="100"/>
      <c r="R13" s="100"/>
    </row>
    <row r="14" spans="1:18" ht="14.25" customHeight="1" x14ac:dyDescent="0.25">
      <c r="A14" s="11"/>
      <c r="B14" s="14">
        <v>43831</v>
      </c>
      <c r="C14" s="14">
        <v>44104</v>
      </c>
      <c r="D14" s="15">
        <f>1598000+102854</f>
        <v>1700854</v>
      </c>
      <c r="E14" s="18">
        <f t="shared" ref="E14" si="0">DAYS360(B14,C14)+1</f>
        <v>270</v>
      </c>
      <c r="F14" s="20">
        <f>(D14*E14)/360</f>
        <v>1275640.5</v>
      </c>
      <c r="G14" s="85"/>
      <c r="H14" s="30"/>
      <c r="I14" s="3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s="1" customFormat="1" ht="15" customHeight="1" x14ac:dyDescent="0.2">
      <c r="A15" s="11"/>
      <c r="B15" s="120" t="s">
        <v>6</v>
      </c>
      <c r="C15" s="120"/>
      <c r="D15" s="120"/>
      <c r="E15" s="120"/>
      <c r="F15" s="19">
        <f>SUM(F13:F14)</f>
        <v>2912173.5333333332</v>
      </c>
      <c r="G15" s="85"/>
      <c r="H15" s="30"/>
      <c r="I15" s="30"/>
      <c r="J15" s="49"/>
      <c r="K15" s="50"/>
      <c r="L15" s="51"/>
      <c r="M15" s="51"/>
      <c r="N15" s="51"/>
      <c r="O15" s="51"/>
      <c r="P15" s="51"/>
      <c r="Q15" s="51"/>
      <c r="R15" s="51"/>
    </row>
    <row r="16" spans="1:18" s="1" customFormat="1" ht="12" customHeight="1" x14ac:dyDescent="0.2">
      <c r="A16" s="11"/>
      <c r="B16" s="11"/>
      <c r="C16" s="11"/>
      <c r="D16" s="11"/>
      <c r="E16" s="11"/>
      <c r="F16" s="11"/>
      <c r="G16" s="85"/>
      <c r="H16" s="30"/>
      <c r="I16" s="30"/>
      <c r="J16" s="49"/>
      <c r="K16" s="51"/>
      <c r="M16" s="51"/>
      <c r="N16" s="51"/>
      <c r="O16" s="51"/>
      <c r="P16" s="51"/>
      <c r="Q16" s="51"/>
      <c r="R16" s="51"/>
    </row>
    <row r="17" spans="1:18" s="1" customFormat="1" ht="12" customHeight="1" x14ac:dyDescent="0.2">
      <c r="A17" s="11"/>
      <c r="B17" s="12" t="s">
        <v>1</v>
      </c>
      <c r="C17" s="12" t="s">
        <v>2</v>
      </c>
      <c r="D17" s="12" t="s">
        <v>7</v>
      </c>
      <c r="E17" s="12" t="s">
        <v>4</v>
      </c>
      <c r="F17" s="17" t="s">
        <v>8</v>
      </c>
      <c r="G17" s="11"/>
      <c r="H17" s="30"/>
      <c r="I17" s="30"/>
      <c r="J17" s="49"/>
      <c r="K17" s="51"/>
      <c r="L17" s="73"/>
      <c r="M17" s="73"/>
      <c r="N17" s="73"/>
      <c r="O17" s="73"/>
      <c r="P17" s="73"/>
      <c r="Q17" s="51"/>
      <c r="R17" s="51"/>
    </row>
    <row r="18" spans="1:18" s="1" customFormat="1" ht="12" customHeight="1" x14ac:dyDescent="0.2">
      <c r="A18" s="11"/>
      <c r="B18" s="58">
        <v>43484</v>
      </c>
      <c r="C18" s="58">
        <v>43830</v>
      </c>
      <c r="D18" s="62">
        <f>F13</f>
        <v>1636533.0333333334</v>
      </c>
      <c r="E18" s="18">
        <f>DAYS360(B18,C18)+1</f>
        <v>343</v>
      </c>
      <c r="F18" s="18">
        <f>(D18*E18*0.12)/360</f>
        <v>187110.27681111114</v>
      </c>
      <c r="G18" s="11"/>
      <c r="H18" s="30"/>
      <c r="I18" s="30"/>
      <c r="J18" s="49"/>
      <c r="K18" s="51"/>
      <c r="L18" s="73"/>
      <c r="M18" s="73"/>
      <c r="N18" s="73"/>
      <c r="O18" s="73"/>
      <c r="P18" s="73"/>
      <c r="Q18" s="51"/>
      <c r="R18" s="51"/>
    </row>
    <row r="19" spans="1:18" s="1" customFormat="1" ht="12" customHeight="1" x14ac:dyDescent="0.2">
      <c r="A19" s="11"/>
      <c r="B19" s="14">
        <v>43831</v>
      </c>
      <c r="C19" s="14">
        <v>44104</v>
      </c>
      <c r="D19" s="20">
        <f>F14</f>
        <v>1275640.5</v>
      </c>
      <c r="E19" s="18">
        <f>DAYS360(B19,C19)+1</f>
        <v>270</v>
      </c>
      <c r="F19" s="18">
        <f>(D19*E19*0.12)/360</f>
        <v>114807.64499999999</v>
      </c>
      <c r="G19" s="11"/>
      <c r="H19" s="30"/>
      <c r="I19" s="30"/>
      <c r="J19" s="49"/>
      <c r="K19" s="51"/>
      <c r="L19" s="73"/>
      <c r="M19" s="73"/>
      <c r="N19" s="73"/>
      <c r="O19" s="73"/>
      <c r="P19" s="73"/>
      <c r="Q19" s="51"/>
      <c r="R19" s="51"/>
    </row>
    <row r="20" spans="1:18" s="1" customFormat="1" ht="12" customHeight="1" x14ac:dyDescent="0.2">
      <c r="A20" s="11"/>
      <c r="B20" s="120" t="s">
        <v>6</v>
      </c>
      <c r="C20" s="120"/>
      <c r="D20" s="120"/>
      <c r="E20" s="120"/>
      <c r="F20" s="19">
        <f>SUM(F18:F19)</f>
        <v>301917.92181111115</v>
      </c>
      <c r="G20" s="11"/>
      <c r="H20" s="11"/>
      <c r="J20" s="50"/>
      <c r="K20" s="51"/>
      <c r="L20" s="66"/>
      <c r="M20" s="66"/>
      <c r="N20" s="66"/>
      <c r="O20" s="66"/>
      <c r="P20" s="66"/>
      <c r="Q20" s="51"/>
      <c r="R20" s="51"/>
    </row>
    <row r="21" spans="1:18" s="1" customFormat="1" ht="1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52"/>
      <c r="K21" s="51"/>
      <c r="L21" s="66"/>
      <c r="M21" s="66"/>
      <c r="N21" s="66"/>
      <c r="O21" s="66"/>
      <c r="P21" s="66"/>
      <c r="Q21" s="51"/>
      <c r="R21" s="51"/>
    </row>
    <row r="22" spans="1:18" s="1" customFormat="1" ht="12" x14ac:dyDescent="0.2">
      <c r="A22" s="11"/>
      <c r="B22" s="12" t="s">
        <v>1</v>
      </c>
      <c r="C22" s="12" t="s">
        <v>2</v>
      </c>
      <c r="D22" s="12" t="s">
        <v>3</v>
      </c>
      <c r="E22" s="12" t="s">
        <v>4</v>
      </c>
      <c r="F22" s="17" t="s">
        <v>9</v>
      </c>
      <c r="G22" s="11"/>
      <c r="H22" s="11"/>
      <c r="I22" s="11"/>
      <c r="J22" s="52"/>
      <c r="K22" s="51"/>
      <c r="L22" s="66"/>
      <c r="M22" s="66"/>
      <c r="N22" s="66"/>
      <c r="O22" s="66"/>
      <c r="P22" s="66"/>
      <c r="Q22" s="51"/>
      <c r="R22" s="51"/>
    </row>
    <row r="23" spans="1:18" s="50" customFormat="1" ht="12" x14ac:dyDescent="0.2">
      <c r="A23" s="52"/>
      <c r="B23" s="58">
        <v>43484</v>
      </c>
      <c r="C23" s="58">
        <v>43830</v>
      </c>
      <c r="D23" s="59">
        <v>1620612</v>
      </c>
      <c r="E23" s="18">
        <f>DAYS360(B23,C23)+1</f>
        <v>343</v>
      </c>
      <c r="F23" s="18">
        <f>(D23*E23)/720</f>
        <v>772041.55</v>
      </c>
      <c r="G23" s="52"/>
      <c r="H23" s="52"/>
      <c r="I23" s="52"/>
      <c r="J23" s="52"/>
      <c r="K23" s="51"/>
      <c r="L23" s="66"/>
      <c r="M23" s="66"/>
      <c r="N23" s="66"/>
      <c r="O23" s="66"/>
      <c r="P23" s="66"/>
      <c r="Q23" s="51"/>
      <c r="R23" s="51"/>
    </row>
    <row r="24" spans="1:18" s="1" customFormat="1" ht="12" x14ac:dyDescent="0.2">
      <c r="A24" s="11"/>
      <c r="B24" s="14">
        <v>43831</v>
      </c>
      <c r="C24" s="14">
        <v>44104</v>
      </c>
      <c r="D24" s="15">
        <v>1598000</v>
      </c>
      <c r="E24" s="18">
        <f>DAYS360(B24,C24)+1</f>
        <v>270</v>
      </c>
      <c r="F24" s="18">
        <f>(D24*E24)/720</f>
        <v>599250</v>
      </c>
      <c r="G24" s="11"/>
      <c r="H24" s="11"/>
      <c r="I24" s="11"/>
      <c r="J24" s="52"/>
      <c r="K24" s="51"/>
      <c r="L24" s="51"/>
      <c r="M24" s="51"/>
      <c r="N24" s="51"/>
      <c r="O24" s="51"/>
      <c r="P24" s="51"/>
      <c r="Q24" s="51"/>
      <c r="R24" s="51"/>
    </row>
    <row r="25" spans="1:18" s="1" customFormat="1" ht="12" x14ac:dyDescent="0.2">
      <c r="A25" s="11"/>
      <c r="B25" s="120" t="s">
        <v>6</v>
      </c>
      <c r="C25" s="120"/>
      <c r="D25" s="120"/>
      <c r="E25" s="120"/>
      <c r="F25" s="19">
        <f>SUM(F23:F24)</f>
        <v>1371291.55</v>
      </c>
      <c r="G25" s="11"/>
      <c r="H25" s="11"/>
      <c r="I25" s="11"/>
      <c r="J25" s="52"/>
      <c r="K25" s="51"/>
      <c r="L25" s="51"/>
      <c r="M25" s="51"/>
      <c r="N25" s="51"/>
      <c r="O25" s="51"/>
      <c r="P25" s="51"/>
      <c r="Q25" s="51"/>
      <c r="R25" s="51"/>
    </row>
    <row r="26" spans="1:18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52"/>
      <c r="K26" s="51"/>
      <c r="L26" s="51"/>
      <c r="M26" s="51"/>
      <c r="N26" s="51"/>
      <c r="O26" s="51"/>
      <c r="P26" s="51"/>
      <c r="Q26" s="51"/>
      <c r="R26" s="51"/>
    </row>
    <row r="27" spans="1:18" x14ac:dyDescent="0.25">
      <c r="A27" s="11"/>
      <c r="B27" s="123" t="s">
        <v>10</v>
      </c>
      <c r="C27" s="124"/>
      <c r="D27" s="124"/>
      <c r="E27" s="124"/>
      <c r="F27" s="124"/>
      <c r="G27" s="124"/>
      <c r="H27" s="124"/>
      <c r="I27" s="125"/>
      <c r="J27" s="52"/>
      <c r="K27" s="51"/>
      <c r="L27" s="51"/>
      <c r="M27" s="51"/>
      <c r="N27" s="51"/>
      <c r="O27" s="51"/>
      <c r="P27" s="51"/>
      <c r="Q27" s="51"/>
      <c r="R27" s="51"/>
    </row>
    <row r="28" spans="1:18" x14ac:dyDescent="0.25">
      <c r="A28" s="11"/>
      <c r="B28" s="103"/>
      <c r="C28" s="104"/>
      <c r="D28" s="105"/>
      <c r="E28" s="2" t="s">
        <v>11</v>
      </c>
      <c r="F28" s="2" t="s">
        <v>12</v>
      </c>
      <c r="G28" s="2" t="s">
        <v>13</v>
      </c>
      <c r="H28" s="126" t="s">
        <v>14</v>
      </c>
      <c r="I28" s="127"/>
      <c r="J28" s="101"/>
      <c r="K28" s="102"/>
      <c r="L28" s="102"/>
      <c r="M28" s="51"/>
      <c r="N28" s="51"/>
      <c r="O28" s="51"/>
      <c r="P28" s="51"/>
      <c r="Q28" s="51"/>
      <c r="R28" s="51"/>
    </row>
    <row r="29" spans="1:18" x14ac:dyDescent="0.25">
      <c r="A29" s="11"/>
      <c r="B29" s="103" t="s">
        <v>50</v>
      </c>
      <c r="C29" s="104"/>
      <c r="D29" s="105"/>
      <c r="E29" s="36">
        <v>2020</v>
      </c>
      <c r="F29" s="36">
        <v>9</v>
      </c>
      <c r="G29" s="3">
        <v>30</v>
      </c>
      <c r="H29" s="4" t="s">
        <v>15</v>
      </c>
      <c r="I29" s="5" t="s">
        <v>16</v>
      </c>
      <c r="J29" s="52"/>
      <c r="K29" s="46"/>
      <c r="L29" s="46"/>
      <c r="M29" s="51"/>
      <c r="N29" s="51"/>
      <c r="O29" s="51"/>
      <c r="P29" s="51"/>
      <c r="Q29" s="51"/>
      <c r="R29" s="51"/>
    </row>
    <row r="30" spans="1:18" x14ac:dyDescent="0.25">
      <c r="A30" s="11"/>
      <c r="B30" s="103" t="s">
        <v>51</v>
      </c>
      <c r="C30" s="104"/>
      <c r="D30" s="105"/>
      <c r="E30" s="6">
        <v>2019</v>
      </c>
      <c r="F30" s="6">
        <v>1</v>
      </c>
      <c r="G30" s="7">
        <v>19</v>
      </c>
      <c r="H30" s="8">
        <f>(E29-E30)*360+(F29-F30)*30+(G29-G30+1)</f>
        <v>612</v>
      </c>
      <c r="I30" s="9">
        <f>H30/360</f>
        <v>1.7</v>
      </c>
      <c r="J30" s="52"/>
      <c r="K30" s="46"/>
      <c r="L30" s="46"/>
      <c r="M30" s="51"/>
      <c r="N30" s="51"/>
      <c r="O30" s="51"/>
      <c r="P30" s="51"/>
      <c r="Q30" s="51"/>
      <c r="R30" s="51"/>
    </row>
    <row r="31" spans="1:18" x14ac:dyDescent="0.25">
      <c r="A31" s="11"/>
      <c r="B31" s="103" t="s">
        <v>17</v>
      </c>
      <c r="C31" s="104"/>
      <c r="D31" s="105"/>
      <c r="E31" s="106">
        <v>1598000</v>
      </c>
      <c r="F31" s="107"/>
      <c r="G31" s="107"/>
      <c r="H31" s="107"/>
      <c r="I31" s="108"/>
      <c r="J31" s="11"/>
      <c r="K31" s="46"/>
      <c r="L31" s="46"/>
    </row>
    <row r="32" spans="1:18" x14ac:dyDescent="0.25">
      <c r="A32" s="11"/>
      <c r="B32" s="103" t="s">
        <v>18</v>
      </c>
      <c r="C32" s="104"/>
      <c r="D32" s="105"/>
      <c r="E32" s="106">
        <f>E31/30</f>
        <v>53266.666666666664</v>
      </c>
      <c r="F32" s="107"/>
      <c r="G32" s="107"/>
      <c r="H32" s="107"/>
      <c r="I32" s="108"/>
      <c r="K32" s="46"/>
      <c r="L32" s="46"/>
    </row>
    <row r="33" spans="1:12" x14ac:dyDescent="0.25">
      <c r="A33" s="11"/>
      <c r="B33" s="103" t="s">
        <v>52</v>
      </c>
      <c r="C33" s="104"/>
      <c r="D33" s="105"/>
      <c r="E33" s="121">
        <f>E31</f>
        <v>1598000</v>
      </c>
      <c r="F33" s="121"/>
      <c r="G33" s="121"/>
      <c r="H33" s="121"/>
      <c r="I33" s="121"/>
      <c r="J33" s="11"/>
      <c r="K33" s="46"/>
      <c r="L33" s="46"/>
    </row>
    <row r="34" spans="1:12" x14ac:dyDescent="0.25">
      <c r="A34" s="11"/>
      <c r="B34" s="110" t="s">
        <v>53</v>
      </c>
      <c r="C34" s="111"/>
      <c r="D34" s="112"/>
      <c r="E34" s="65">
        <f>I30-1</f>
        <v>0.7</v>
      </c>
      <c r="F34" s="113">
        <f>E34*20*E32</f>
        <v>745733.33333333326</v>
      </c>
      <c r="G34" s="113"/>
      <c r="H34" s="113"/>
      <c r="I34" s="113"/>
    </row>
    <row r="35" spans="1:12" ht="17.25" customHeight="1" x14ac:dyDescent="0.25">
      <c r="A35" s="11"/>
      <c r="B35" s="89" t="s">
        <v>19</v>
      </c>
      <c r="C35" s="89"/>
      <c r="D35" s="89"/>
      <c r="E35" s="89"/>
      <c r="F35" s="90">
        <f>SUM(E33:F34)</f>
        <v>2343734.0333333332</v>
      </c>
      <c r="G35" s="90"/>
      <c r="H35" s="90"/>
      <c r="I35" s="90"/>
    </row>
    <row r="36" spans="1:12" ht="17.25" customHeight="1" x14ac:dyDescent="0.25">
      <c r="A36" s="11"/>
      <c r="B36" s="63"/>
      <c r="C36" s="63"/>
      <c r="D36" s="63"/>
      <c r="E36" s="63"/>
      <c r="F36" s="64"/>
      <c r="G36" s="64"/>
      <c r="H36" s="64"/>
      <c r="I36" s="64"/>
    </row>
    <row r="37" spans="1:12" ht="17.25" customHeight="1" x14ac:dyDescent="0.25">
      <c r="A37" s="11"/>
      <c r="B37" s="114" t="s">
        <v>20</v>
      </c>
      <c r="C37" s="115"/>
      <c r="D37" s="115"/>
      <c r="E37" s="115"/>
      <c r="F37" s="116"/>
      <c r="G37" s="11"/>
      <c r="H37" s="11"/>
      <c r="I37" s="11"/>
    </row>
    <row r="38" spans="1:12" ht="17.25" customHeight="1" x14ac:dyDescent="0.25">
      <c r="A38" s="11"/>
      <c r="B38" s="53" t="s">
        <v>1</v>
      </c>
      <c r="C38" s="53" t="s">
        <v>2</v>
      </c>
      <c r="D38" s="53" t="s">
        <v>3</v>
      </c>
      <c r="E38" s="53" t="s">
        <v>4</v>
      </c>
      <c r="F38" s="53" t="s">
        <v>21</v>
      </c>
      <c r="G38" s="11"/>
      <c r="H38" s="11"/>
      <c r="I38" s="11"/>
    </row>
    <row r="39" spans="1:12" ht="17.25" customHeight="1" x14ac:dyDescent="0.25">
      <c r="A39" s="11"/>
      <c r="B39" s="56">
        <v>43876</v>
      </c>
      <c r="C39" s="56">
        <v>44104</v>
      </c>
      <c r="D39" s="54">
        <v>1598000</v>
      </c>
      <c r="E39" s="55">
        <f>DAYS360(B39,C39)</f>
        <v>225</v>
      </c>
      <c r="F39" s="54">
        <f>(D39/30)*E39</f>
        <v>11985000</v>
      </c>
      <c r="G39" s="11"/>
      <c r="H39" s="11"/>
      <c r="I39" s="11"/>
    </row>
    <row r="40" spans="1:12" ht="17.25" customHeight="1" x14ac:dyDescent="0.25">
      <c r="A40" s="11"/>
      <c r="B40" s="117" t="s">
        <v>6</v>
      </c>
      <c r="C40" s="118"/>
      <c r="D40" s="118"/>
      <c r="E40" s="119"/>
      <c r="F40" s="57">
        <f>F39</f>
        <v>11985000</v>
      </c>
      <c r="G40" s="11"/>
      <c r="H40" s="11"/>
      <c r="I40" s="11"/>
    </row>
    <row r="41" spans="1:12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2" ht="14.45" customHeight="1" x14ac:dyDescent="0.25">
      <c r="A42" s="11"/>
      <c r="B42" s="91" t="s">
        <v>22</v>
      </c>
      <c r="C42" s="91"/>
      <c r="D42" s="91"/>
      <c r="E42" s="91"/>
      <c r="F42" s="91"/>
      <c r="G42" s="11"/>
      <c r="H42" s="11"/>
      <c r="I42" s="11"/>
      <c r="J42" s="11"/>
    </row>
    <row r="43" spans="1:12" x14ac:dyDescent="0.25">
      <c r="A43" s="11"/>
      <c r="B43" s="92" t="s">
        <v>54</v>
      </c>
      <c r="C43" s="92"/>
      <c r="D43" s="92" t="s">
        <v>55</v>
      </c>
      <c r="E43" s="92"/>
      <c r="F43" s="37" t="s">
        <v>25</v>
      </c>
      <c r="G43" s="11"/>
      <c r="H43" s="11"/>
      <c r="I43" s="11"/>
      <c r="J43" s="11"/>
    </row>
    <row r="44" spans="1:12" x14ac:dyDescent="0.25">
      <c r="A44" s="11"/>
      <c r="B44" s="82">
        <f>E31/30</f>
        <v>53266.666666666664</v>
      </c>
      <c r="C44" s="83"/>
      <c r="D44" s="84">
        <v>720</v>
      </c>
      <c r="E44" s="84"/>
      <c r="F44" s="35">
        <f>B44*D44</f>
        <v>38352000</v>
      </c>
      <c r="G44" s="11"/>
      <c r="H44" s="11"/>
      <c r="I44" s="11"/>
      <c r="J44" s="11"/>
    </row>
    <row r="45" spans="1:12" x14ac:dyDescent="0.25">
      <c r="A45" s="11"/>
      <c r="B45" s="23"/>
      <c r="C45" s="24"/>
      <c r="D45" s="25"/>
      <c r="E45" s="25"/>
      <c r="F45" s="26"/>
      <c r="G45" s="11"/>
      <c r="H45" s="11"/>
      <c r="I45" s="11"/>
      <c r="J45" s="11"/>
    </row>
    <row r="46" spans="1:12" x14ac:dyDescent="0.25">
      <c r="A46" s="11"/>
      <c r="B46" s="91" t="s">
        <v>26</v>
      </c>
      <c r="C46" s="91"/>
      <c r="D46" s="91"/>
      <c r="E46" s="91"/>
      <c r="F46" s="91"/>
      <c r="G46" s="91"/>
      <c r="H46" s="11"/>
      <c r="I46" s="11"/>
      <c r="J46" s="11"/>
    </row>
    <row r="47" spans="1:12" ht="24.75" x14ac:dyDescent="0.25">
      <c r="A47" s="11"/>
      <c r="B47" s="12" t="s">
        <v>1</v>
      </c>
      <c r="C47" s="12" t="s">
        <v>2</v>
      </c>
      <c r="D47" s="12" t="s">
        <v>3</v>
      </c>
      <c r="E47" s="12" t="s">
        <v>24</v>
      </c>
      <c r="F47" s="13" t="s">
        <v>23</v>
      </c>
      <c r="G47" s="29" t="s">
        <v>27</v>
      </c>
      <c r="H47" s="11"/>
      <c r="I47" s="11"/>
      <c r="J47" s="11"/>
    </row>
    <row r="48" spans="1:12" x14ac:dyDescent="0.25">
      <c r="A48" s="11"/>
      <c r="B48" s="14">
        <v>43983</v>
      </c>
      <c r="C48" s="14">
        <v>44074</v>
      </c>
      <c r="D48" s="15">
        <v>1598000</v>
      </c>
      <c r="E48" s="16">
        <f>D48/30</f>
        <v>53266.666666666664</v>
      </c>
      <c r="F48" s="16">
        <f>DAYS360(B48,C48)+1</f>
        <v>91</v>
      </c>
      <c r="G48" s="27">
        <f>E48*F48</f>
        <v>4847266.666666666</v>
      </c>
      <c r="H48" s="11"/>
      <c r="I48" s="11"/>
      <c r="J48" s="11"/>
    </row>
    <row r="49" spans="1:9" x14ac:dyDescent="0.25">
      <c r="A49" s="11"/>
      <c r="B49" s="120" t="s">
        <v>6</v>
      </c>
      <c r="C49" s="120"/>
      <c r="D49" s="120"/>
      <c r="E49" s="120"/>
      <c r="F49" s="120"/>
      <c r="G49" s="28">
        <f>G48</f>
        <v>4847266.666666666</v>
      </c>
      <c r="H49" s="11"/>
      <c r="I49" s="11"/>
    </row>
    <row r="50" spans="1:9" x14ac:dyDescent="0.25">
      <c r="A50" s="11"/>
      <c r="B50" s="23"/>
      <c r="C50" s="24"/>
      <c r="D50" s="25"/>
      <c r="E50" s="25"/>
      <c r="F50" s="26"/>
      <c r="G50" s="11"/>
      <c r="H50" s="11"/>
      <c r="I50" s="11"/>
    </row>
    <row r="51" spans="1:9" x14ac:dyDescent="0.25">
      <c r="A51" s="11"/>
      <c r="B51" s="95" t="s">
        <v>66</v>
      </c>
      <c r="C51" s="95"/>
      <c r="D51" s="95"/>
      <c r="E51" s="95"/>
      <c r="F51" s="95"/>
      <c r="G51" s="11"/>
      <c r="H51" s="11"/>
      <c r="I51" s="11"/>
    </row>
    <row r="52" spans="1:9" x14ac:dyDescent="0.25">
      <c r="A52" s="11"/>
      <c r="B52" s="96" t="s">
        <v>31</v>
      </c>
      <c r="C52" s="96"/>
      <c r="D52" s="96"/>
      <c r="E52" s="97">
        <v>5507</v>
      </c>
      <c r="F52" s="97"/>
      <c r="G52" s="86" t="s">
        <v>63</v>
      </c>
      <c r="H52" s="11"/>
      <c r="I52" s="11"/>
    </row>
    <row r="53" spans="1:9" ht="24.75" x14ac:dyDescent="0.25">
      <c r="A53" s="11"/>
      <c r="B53" s="98" t="s">
        <v>32</v>
      </c>
      <c r="C53" s="98"/>
      <c r="D53" s="39" t="s">
        <v>33</v>
      </c>
      <c r="E53" s="40" t="s">
        <v>34</v>
      </c>
      <c r="F53" s="40" t="s">
        <v>6</v>
      </c>
      <c r="G53" s="87"/>
      <c r="H53" s="10"/>
      <c r="I53" s="10"/>
    </row>
    <row r="54" spans="1:9" x14ac:dyDescent="0.25">
      <c r="A54" s="10"/>
      <c r="B54" s="94" t="s">
        <v>37</v>
      </c>
      <c r="C54" s="94"/>
      <c r="D54" s="41">
        <f>E52*1.25</f>
        <v>6883.75</v>
      </c>
      <c r="E54" s="42">
        <v>358</v>
      </c>
      <c r="F54" s="43">
        <f t="shared" ref="F54:F59" si="1">D54*E54</f>
        <v>2464382.5</v>
      </c>
      <c r="G54" s="87"/>
    </row>
    <row r="55" spans="1:9" ht="15" customHeight="1" x14ac:dyDescent="0.25">
      <c r="B55" s="93" t="s">
        <v>36</v>
      </c>
      <c r="C55" s="93"/>
      <c r="D55" s="44">
        <f>E52*1.75</f>
        <v>9637.25</v>
      </c>
      <c r="E55" s="42">
        <v>248</v>
      </c>
      <c r="F55" s="44">
        <f t="shared" si="1"/>
        <v>2390038</v>
      </c>
      <c r="G55" s="87"/>
    </row>
    <row r="56" spans="1:9" x14ac:dyDescent="0.25">
      <c r="B56" s="89" t="s">
        <v>42</v>
      </c>
      <c r="C56" s="99"/>
      <c r="D56" s="44">
        <f>E52*2</f>
        <v>11014</v>
      </c>
      <c r="E56" s="42">
        <v>48</v>
      </c>
      <c r="F56" s="44">
        <f t="shared" si="1"/>
        <v>528672</v>
      </c>
      <c r="G56" s="88"/>
    </row>
    <row r="57" spans="1:9" x14ac:dyDescent="0.25">
      <c r="B57" s="93" t="s">
        <v>35</v>
      </c>
      <c r="C57" s="93"/>
      <c r="D57" s="44">
        <f>E52*2.5</f>
        <v>13767.5</v>
      </c>
      <c r="E57" s="42">
        <v>36</v>
      </c>
      <c r="F57" s="44">
        <f t="shared" si="1"/>
        <v>495630</v>
      </c>
    </row>
    <row r="58" spans="1:9" x14ac:dyDescent="0.25">
      <c r="B58" s="93" t="s">
        <v>38</v>
      </c>
      <c r="C58" s="93"/>
      <c r="D58" s="44">
        <f>E52*2</f>
        <v>11014</v>
      </c>
      <c r="E58" s="42">
        <v>12</v>
      </c>
      <c r="F58" s="44">
        <f t="shared" si="1"/>
        <v>132168</v>
      </c>
    </row>
    <row r="59" spans="1:9" x14ac:dyDescent="0.25">
      <c r="B59" s="93" t="s">
        <v>39</v>
      </c>
      <c r="C59" s="93"/>
      <c r="D59" s="44">
        <f>E52*2.5</f>
        <v>13767.5</v>
      </c>
      <c r="E59" s="42">
        <v>16</v>
      </c>
      <c r="F59" s="44">
        <f t="shared" si="1"/>
        <v>220280</v>
      </c>
    </row>
    <row r="60" spans="1:9" x14ac:dyDescent="0.25">
      <c r="B60" s="92" t="s">
        <v>40</v>
      </c>
      <c r="C60" s="92"/>
      <c r="D60" s="92"/>
      <c r="E60" s="92"/>
      <c r="F60" s="45">
        <f>SUM(F54:F59)</f>
        <v>6231170.5</v>
      </c>
    </row>
    <row r="61" spans="1:9" x14ac:dyDescent="0.25">
      <c r="B61"/>
      <c r="C61"/>
      <c r="D61"/>
      <c r="E61"/>
      <c r="F61"/>
    </row>
    <row r="62" spans="1:9" x14ac:dyDescent="0.25">
      <c r="B62" s="95" t="s">
        <v>65</v>
      </c>
      <c r="C62" s="95"/>
      <c r="D62" s="95"/>
      <c r="E62" s="95"/>
      <c r="F62" s="95"/>
    </row>
    <row r="63" spans="1:9" x14ac:dyDescent="0.25">
      <c r="B63" s="96" t="s">
        <v>43</v>
      </c>
      <c r="C63" s="96"/>
      <c r="D63" s="96"/>
      <c r="E63" s="97">
        <v>6000</v>
      </c>
      <c r="F63" s="97"/>
      <c r="G63" s="81" t="s">
        <v>63</v>
      </c>
    </row>
    <row r="64" spans="1:9" ht="24.75" customHeight="1" x14ac:dyDescent="0.25">
      <c r="B64" s="98" t="s">
        <v>32</v>
      </c>
      <c r="C64" s="98"/>
      <c r="D64" s="39" t="s">
        <v>33</v>
      </c>
      <c r="E64" s="40" t="s">
        <v>34</v>
      </c>
      <c r="F64" s="40" t="s">
        <v>6</v>
      </c>
      <c r="G64" s="81"/>
    </row>
    <row r="65" spans="2:7" x14ac:dyDescent="0.25">
      <c r="B65" s="94" t="s">
        <v>37</v>
      </c>
      <c r="C65" s="94"/>
      <c r="D65" s="41">
        <f>E63*1.25</f>
        <v>7500</v>
      </c>
      <c r="E65" s="42">
        <v>256</v>
      </c>
      <c r="F65" s="43">
        <f t="shared" ref="F65:F70" si="2">D65*E65</f>
        <v>1920000</v>
      </c>
      <c r="G65" s="81"/>
    </row>
    <row r="66" spans="2:7" x14ac:dyDescent="0.25">
      <c r="B66" s="93" t="s">
        <v>36</v>
      </c>
      <c r="C66" s="93"/>
      <c r="D66" s="44">
        <f>E63*1.75</f>
        <v>10500</v>
      </c>
      <c r="E66" s="42">
        <v>136</v>
      </c>
      <c r="F66" s="44">
        <f t="shared" si="2"/>
        <v>1428000</v>
      </c>
      <c r="G66" s="81"/>
    </row>
    <row r="67" spans="2:7" x14ac:dyDescent="0.25">
      <c r="B67" s="84" t="s">
        <v>42</v>
      </c>
      <c r="C67" s="84"/>
      <c r="D67" s="44">
        <f>E63*2</f>
        <v>12000</v>
      </c>
      <c r="E67" s="42">
        <v>20</v>
      </c>
      <c r="F67" s="80">
        <f t="shared" si="2"/>
        <v>240000</v>
      </c>
      <c r="G67" s="79"/>
    </row>
    <row r="68" spans="2:7" x14ac:dyDescent="0.25">
      <c r="B68" s="93" t="s">
        <v>35</v>
      </c>
      <c r="C68" s="93"/>
      <c r="D68" s="44">
        <f>E63*2.5</f>
        <v>15000</v>
      </c>
      <c r="E68" s="42">
        <v>52</v>
      </c>
      <c r="F68" s="80">
        <f t="shared" si="2"/>
        <v>780000</v>
      </c>
      <c r="G68" s="79"/>
    </row>
    <row r="69" spans="2:7" x14ac:dyDescent="0.25">
      <c r="B69" s="93" t="s">
        <v>38</v>
      </c>
      <c r="C69" s="93"/>
      <c r="D69" s="44">
        <f>E63*2</f>
        <v>12000</v>
      </c>
      <c r="E69" s="42">
        <v>24</v>
      </c>
      <c r="F69" s="80">
        <f t="shared" si="2"/>
        <v>288000</v>
      </c>
      <c r="G69" s="48"/>
    </row>
    <row r="70" spans="2:7" x14ac:dyDescent="0.25">
      <c r="B70" s="93" t="s">
        <v>39</v>
      </c>
      <c r="C70" s="93"/>
      <c r="D70" s="44">
        <f>E63*2.5</f>
        <v>15000</v>
      </c>
      <c r="E70" s="42">
        <v>8</v>
      </c>
      <c r="F70" s="44">
        <f t="shared" si="2"/>
        <v>120000</v>
      </c>
    </row>
    <row r="71" spans="2:7" x14ac:dyDescent="0.25">
      <c r="B71" s="92" t="s">
        <v>40</v>
      </c>
      <c r="C71" s="92"/>
      <c r="D71" s="92"/>
      <c r="E71" s="92"/>
      <c r="F71" s="45">
        <f>SUM(F65:F70)</f>
        <v>4776000</v>
      </c>
    </row>
    <row r="72" spans="2:7" x14ac:dyDescent="0.25">
      <c r="B72" s="11"/>
      <c r="C72" s="11"/>
      <c r="D72" s="11"/>
      <c r="E72" s="11"/>
      <c r="F72" s="11"/>
    </row>
    <row r="73" spans="2:7" x14ac:dyDescent="0.25">
      <c r="B73" s="109" t="s">
        <v>28</v>
      </c>
      <c r="C73" s="109"/>
      <c r="D73" s="109"/>
      <c r="E73" s="109"/>
      <c r="F73" s="21">
        <f>F10+F15+F20+F25+F35+F40+F44+G49+F60+F71</f>
        <v>76032727.738477767</v>
      </c>
    </row>
    <row r="74" spans="2:7" x14ac:dyDescent="0.25">
      <c r="B74" s="11"/>
      <c r="C74" s="11"/>
      <c r="D74" s="11"/>
      <c r="E74" s="11"/>
      <c r="F74" s="11"/>
    </row>
  </sheetData>
  <mergeCells count="58">
    <mergeCell ref="G7:G11"/>
    <mergeCell ref="B15:E15"/>
    <mergeCell ref="B20:E20"/>
    <mergeCell ref="B25:E25"/>
    <mergeCell ref="B30:D30"/>
    <mergeCell ref="B31:D31"/>
    <mergeCell ref="E31:I31"/>
    <mergeCell ref="B27:I27"/>
    <mergeCell ref="B28:D28"/>
    <mergeCell ref="H28:I28"/>
    <mergeCell ref="B29:D29"/>
    <mergeCell ref="J4:R14"/>
    <mergeCell ref="J28:L28"/>
    <mergeCell ref="B32:D32"/>
    <mergeCell ref="E32:I32"/>
    <mergeCell ref="B73:E73"/>
    <mergeCell ref="B34:D34"/>
    <mergeCell ref="F34:I34"/>
    <mergeCell ref="B37:F37"/>
    <mergeCell ref="B40:E40"/>
    <mergeCell ref="D43:E43"/>
    <mergeCell ref="B49:F49"/>
    <mergeCell ref="B46:G46"/>
    <mergeCell ref="B33:D33"/>
    <mergeCell ref="E33:I33"/>
    <mergeCell ref="B5:F5"/>
    <mergeCell ref="B10:E10"/>
    <mergeCell ref="B57:C57"/>
    <mergeCell ref="B58:C58"/>
    <mergeCell ref="B59:C59"/>
    <mergeCell ref="B51:F51"/>
    <mergeCell ref="B52:D52"/>
    <mergeCell ref="E52:F52"/>
    <mergeCell ref="B53:C53"/>
    <mergeCell ref="B54:C54"/>
    <mergeCell ref="B70:C70"/>
    <mergeCell ref="B71:E71"/>
    <mergeCell ref="B65:C65"/>
    <mergeCell ref="B66:C66"/>
    <mergeCell ref="B67:C67"/>
    <mergeCell ref="B68:C68"/>
    <mergeCell ref="B69:C69"/>
    <mergeCell ref="G63:G66"/>
    <mergeCell ref="B44:C44"/>
    <mergeCell ref="D44:E44"/>
    <mergeCell ref="G12:G16"/>
    <mergeCell ref="G52:G56"/>
    <mergeCell ref="B35:E35"/>
    <mergeCell ref="F35:I35"/>
    <mergeCell ref="B42:F42"/>
    <mergeCell ref="B43:C43"/>
    <mergeCell ref="B60:E60"/>
    <mergeCell ref="B62:F62"/>
    <mergeCell ref="B63:D63"/>
    <mergeCell ref="E63:F63"/>
    <mergeCell ref="B64:C64"/>
    <mergeCell ref="B55:C55"/>
    <mergeCell ref="B56:C5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7"/>
  <sheetViews>
    <sheetView topLeftCell="A15" workbookViewId="0">
      <selection activeCell="B23" sqref="B23:C23"/>
    </sheetView>
  </sheetViews>
  <sheetFormatPr baseColWidth="10" defaultRowHeight="15" x14ac:dyDescent="0.25"/>
  <cols>
    <col min="4" max="5" width="11.5703125" bestFit="1" customWidth="1"/>
    <col min="6" max="6" width="11.85546875" bestFit="1" customWidth="1"/>
  </cols>
  <sheetData>
    <row r="6" spans="2:11" ht="15" customHeight="1" x14ac:dyDescent="0.25">
      <c r="B6" s="95" t="s">
        <v>30</v>
      </c>
      <c r="C6" s="95"/>
      <c r="D6" s="95"/>
      <c r="E6" s="95"/>
      <c r="F6" s="95"/>
      <c r="I6" s="131" t="s">
        <v>63</v>
      </c>
      <c r="J6" s="131"/>
      <c r="K6" s="131"/>
    </row>
    <row r="7" spans="2:11" ht="30" customHeight="1" x14ac:dyDescent="0.25">
      <c r="B7" s="96" t="s">
        <v>31</v>
      </c>
      <c r="C7" s="96"/>
      <c r="D7" s="96"/>
      <c r="E7" s="97">
        <v>5507</v>
      </c>
      <c r="F7" s="97"/>
      <c r="I7" s="131"/>
      <c r="J7" s="131"/>
      <c r="K7" s="131"/>
    </row>
    <row r="8" spans="2:11" ht="30" customHeight="1" x14ac:dyDescent="0.25">
      <c r="B8" s="98" t="s">
        <v>32</v>
      </c>
      <c r="C8" s="98"/>
      <c r="D8" s="39" t="s">
        <v>33</v>
      </c>
      <c r="E8" s="40" t="s">
        <v>34</v>
      </c>
      <c r="F8" s="40" t="s">
        <v>6</v>
      </c>
      <c r="I8" s="79"/>
      <c r="J8" s="47"/>
    </row>
    <row r="9" spans="2:11" ht="16.5" customHeight="1" x14ac:dyDescent="0.25">
      <c r="B9" s="94" t="s">
        <v>37</v>
      </c>
      <c r="C9" s="94"/>
      <c r="D9" s="41">
        <f>E7*1.25</f>
        <v>6883.75</v>
      </c>
      <c r="E9" s="42">
        <v>358</v>
      </c>
      <c r="F9" s="43">
        <f t="shared" ref="F9:F14" si="0">D9*E9</f>
        <v>2464382.5</v>
      </c>
      <c r="I9" s="77"/>
    </row>
    <row r="10" spans="2:11" x14ac:dyDescent="0.25">
      <c r="B10" s="93" t="s">
        <v>36</v>
      </c>
      <c r="C10" s="93"/>
      <c r="D10" s="44">
        <f>E7*1.75</f>
        <v>9637.25</v>
      </c>
      <c r="E10" s="42">
        <v>248</v>
      </c>
      <c r="F10" s="44">
        <f t="shared" si="0"/>
        <v>2390038</v>
      </c>
      <c r="I10" s="78"/>
    </row>
    <row r="11" spans="2:11" x14ac:dyDescent="0.25">
      <c r="B11" s="84" t="s">
        <v>42</v>
      </c>
      <c r="C11" s="84"/>
      <c r="D11" s="44">
        <f>E7*2</f>
        <v>11014</v>
      </c>
      <c r="E11" s="42">
        <v>48</v>
      </c>
      <c r="F11" s="44">
        <f t="shared" si="0"/>
        <v>528672</v>
      </c>
    </row>
    <row r="12" spans="2:11" x14ac:dyDescent="0.25">
      <c r="B12" s="93" t="s">
        <v>35</v>
      </c>
      <c r="C12" s="93"/>
      <c r="D12" s="44">
        <f>E7*2.5</f>
        <v>13767.5</v>
      </c>
      <c r="E12" s="42">
        <v>36</v>
      </c>
      <c r="F12" s="44">
        <f t="shared" si="0"/>
        <v>495630</v>
      </c>
    </row>
    <row r="13" spans="2:11" x14ac:dyDescent="0.25">
      <c r="B13" s="93" t="s">
        <v>38</v>
      </c>
      <c r="C13" s="93"/>
      <c r="D13" s="44">
        <f>E7*2</f>
        <v>11014</v>
      </c>
      <c r="E13" s="42">
        <v>12</v>
      </c>
      <c r="F13" s="44">
        <f t="shared" si="0"/>
        <v>132168</v>
      </c>
    </row>
    <row r="14" spans="2:11" x14ac:dyDescent="0.25">
      <c r="B14" s="93" t="s">
        <v>39</v>
      </c>
      <c r="C14" s="93"/>
      <c r="D14" s="44">
        <f>E7*2.5</f>
        <v>13767.5</v>
      </c>
      <c r="E14" s="42">
        <v>16</v>
      </c>
      <c r="F14" s="44">
        <f t="shared" si="0"/>
        <v>220280</v>
      </c>
    </row>
    <row r="15" spans="2:11" x14ac:dyDescent="0.25">
      <c r="B15" s="92" t="s">
        <v>40</v>
      </c>
      <c r="C15" s="92"/>
      <c r="D15" s="92"/>
      <c r="E15" s="92"/>
      <c r="F15" s="45">
        <f>SUM(F9:F14)</f>
        <v>6231170.5</v>
      </c>
    </row>
    <row r="18" spans="2:13" x14ac:dyDescent="0.25">
      <c r="B18" s="95" t="s">
        <v>41</v>
      </c>
      <c r="C18" s="95"/>
      <c r="D18" s="95"/>
      <c r="E18" s="95"/>
      <c r="F18" s="95"/>
    </row>
    <row r="19" spans="2:13" ht="15" customHeight="1" x14ac:dyDescent="0.25">
      <c r="B19" s="96" t="s">
        <v>43</v>
      </c>
      <c r="C19" s="96"/>
      <c r="D19" s="96"/>
      <c r="E19" s="97">
        <v>6000</v>
      </c>
      <c r="F19" s="97"/>
    </row>
    <row r="20" spans="2:13" ht="24.75" x14ac:dyDescent="0.25">
      <c r="B20" s="98" t="s">
        <v>32</v>
      </c>
      <c r="C20" s="98"/>
      <c r="D20" s="39" t="s">
        <v>33</v>
      </c>
      <c r="E20" s="40" t="s">
        <v>34</v>
      </c>
      <c r="F20" s="40" t="s">
        <v>6</v>
      </c>
      <c r="I20" s="98" t="s">
        <v>46</v>
      </c>
      <c r="J20" s="98"/>
      <c r="K20" s="11"/>
      <c r="L20" s="98" t="s">
        <v>47</v>
      </c>
      <c r="M20" s="98"/>
    </row>
    <row r="21" spans="2:13" ht="15" customHeight="1" x14ac:dyDescent="0.25">
      <c r="B21" s="94" t="s">
        <v>37</v>
      </c>
      <c r="C21" s="94"/>
      <c r="D21" s="41">
        <f>E19*1.25</f>
        <v>7500</v>
      </c>
      <c r="E21" s="42">
        <v>256</v>
      </c>
      <c r="F21" s="43">
        <f t="shared" ref="F21:F26" si="1">D21*E21</f>
        <v>1920000</v>
      </c>
      <c r="I21" s="132">
        <f>F15/12</f>
        <v>519264.20833333331</v>
      </c>
      <c r="J21" s="132"/>
      <c r="K21" s="11"/>
      <c r="L21" s="132">
        <f>F27/12</f>
        <v>398000</v>
      </c>
      <c r="M21" s="132"/>
    </row>
    <row r="22" spans="2:13" x14ac:dyDescent="0.25">
      <c r="B22" s="93" t="s">
        <v>36</v>
      </c>
      <c r="C22" s="93"/>
      <c r="D22" s="44">
        <f>E19*1.75</f>
        <v>10500</v>
      </c>
      <c r="E22" s="42">
        <v>136</v>
      </c>
      <c r="F22" s="44">
        <f t="shared" si="1"/>
        <v>1428000</v>
      </c>
    </row>
    <row r="23" spans="2:13" x14ac:dyDescent="0.25">
      <c r="B23" s="89" t="s">
        <v>42</v>
      </c>
      <c r="C23" s="99"/>
      <c r="D23" s="44">
        <f>E19*2</f>
        <v>12000</v>
      </c>
      <c r="E23" s="42">
        <v>20</v>
      </c>
      <c r="F23" s="44">
        <f t="shared" si="1"/>
        <v>240000</v>
      </c>
      <c r="I23" s="95" t="s">
        <v>48</v>
      </c>
      <c r="J23" s="95"/>
      <c r="K23" s="25"/>
      <c r="L23" s="95" t="s">
        <v>49</v>
      </c>
      <c r="M23" s="95"/>
    </row>
    <row r="24" spans="2:13" x14ac:dyDescent="0.25">
      <c r="B24" s="93" t="s">
        <v>35</v>
      </c>
      <c r="C24" s="93"/>
      <c r="D24" s="44">
        <f>E19*2.5</f>
        <v>15000</v>
      </c>
      <c r="E24" s="42">
        <v>52</v>
      </c>
      <c r="F24" s="44">
        <f t="shared" si="1"/>
        <v>780000</v>
      </c>
      <c r="I24" s="132">
        <f>1101348+I21</f>
        <v>1620612.2083333333</v>
      </c>
      <c r="J24" s="132"/>
      <c r="K24" s="25"/>
      <c r="L24" s="132">
        <f>1200000+L21</f>
        <v>1598000</v>
      </c>
      <c r="M24" s="132"/>
    </row>
    <row r="25" spans="2:13" x14ac:dyDescent="0.25">
      <c r="B25" s="93" t="s">
        <v>38</v>
      </c>
      <c r="C25" s="93"/>
      <c r="D25" s="44">
        <f>E19*2</f>
        <v>12000</v>
      </c>
      <c r="E25" s="42">
        <v>24</v>
      </c>
      <c r="F25" s="44">
        <f t="shared" si="1"/>
        <v>288000</v>
      </c>
    </row>
    <row r="26" spans="2:13" x14ac:dyDescent="0.25">
      <c r="B26" s="93" t="s">
        <v>39</v>
      </c>
      <c r="C26" s="93"/>
      <c r="D26" s="44">
        <f>E19*2.5</f>
        <v>15000</v>
      </c>
      <c r="E26" s="42">
        <v>8</v>
      </c>
      <c r="F26" s="44">
        <f t="shared" si="1"/>
        <v>120000</v>
      </c>
    </row>
    <row r="27" spans="2:13" x14ac:dyDescent="0.25">
      <c r="B27" s="92" t="s">
        <v>40</v>
      </c>
      <c r="C27" s="92"/>
      <c r="D27" s="92"/>
      <c r="E27" s="92"/>
      <c r="F27" s="45">
        <f>SUM(F21:F26)</f>
        <v>4776000</v>
      </c>
    </row>
  </sheetData>
  <mergeCells count="31">
    <mergeCell ref="B8:C8"/>
    <mergeCell ref="B10:C10"/>
    <mergeCell ref="B27:E27"/>
    <mergeCell ref="I20:J20"/>
    <mergeCell ref="L20:M20"/>
    <mergeCell ref="I21:J21"/>
    <mergeCell ref="L21:M21"/>
    <mergeCell ref="I24:J24"/>
    <mergeCell ref="L24:M24"/>
    <mergeCell ref="B20:C20"/>
    <mergeCell ref="B21:C21"/>
    <mergeCell ref="B22:C22"/>
    <mergeCell ref="B23:C23"/>
    <mergeCell ref="B24:C24"/>
    <mergeCell ref="B25:C25"/>
    <mergeCell ref="I23:J23"/>
    <mergeCell ref="L23:M23"/>
    <mergeCell ref="I6:K7"/>
    <mergeCell ref="B11:C11"/>
    <mergeCell ref="B26:C26"/>
    <mergeCell ref="B12:C12"/>
    <mergeCell ref="B13:C13"/>
    <mergeCell ref="B14:C14"/>
    <mergeCell ref="B15:E15"/>
    <mergeCell ref="B18:F18"/>
    <mergeCell ref="B19:D19"/>
    <mergeCell ref="E19:F19"/>
    <mergeCell ref="B6:F6"/>
    <mergeCell ref="E7:F7"/>
    <mergeCell ref="B7:D7"/>
    <mergeCell ref="B9:C9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>
      <selection activeCell="F29" sqref="F29"/>
    </sheetView>
  </sheetViews>
  <sheetFormatPr baseColWidth="10" defaultColWidth="11.42578125" defaultRowHeight="15" x14ac:dyDescent="0.25"/>
  <cols>
    <col min="5" max="5" width="14.28515625" customWidth="1"/>
    <col min="6" max="6" width="15.28515625" customWidth="1"/>
    <col min="7" max="7" width="22.7109375" customWidth="1"/>
  </cols>
  <sheetData>
    <row r="3" spans="2:15" x14ac:dyDescent="0.25">
      <c r="B3" s="122" t="s">
        <v>0</v>
      </c>
      <c r="C3" s="122"/>
      <c r="D3" s="122"/>
      <c r="E3" s="122"/>
      <c r="F3" s="122"/>
      <c r="G3" s="11"/>
      <c r="H3" s="11"/>
      <c r="I3" s="137" t="s">
        <v>44</v>
      </c>
      <c r="J3" s="137"/>
      <c r="K3" s="137"/>
      <c r="L3" s="137"/>
      <c r="M3" s="137"/>
      <c r="N3" s="137"/>
      <c r="O3" s="137"/>
    </row>
    <row r="4" spans="2:15" ht="15" customHeight="1" x14ac:dyDescent="0.25">
      <c r="B4" s="11"/>
      <c r="C4" s="11"/>
      <c r="D4" s="11"/>
      <c r="E4" s="11"/>
      <c r="F4" s="11"/>
      <c r="G4" s="135" t="s">
        <v>29</v>
      </c>
      <c r="H4" s="11"/>
      <c r="I4" s="137"/>
      <c r="J4" s="137"/>
      <c r="K4" s="137"/>
      <c r="L4" s="137"/>
      <c r="M4" s="137"/>
      <c r="N4" s="137"/>
      <c r="O4" s="137"/>
    </row>
    <row r="5" spans="2:15" ht="15" customHeight="1" x14ac:dyDescent="0.25">
      <c r="B5" s="12" t="s">
        <v>1</v>
      </c>
      <c r="C5" s="12" t="s">
        <v>2</v>
      </c>
      <c r="D5" s="12" t="s">
        <v>3</v>
      </c>
      <c r="E5" s="12" t="s">
        <v>4</v>
      </c>
      <c r="F5" s="32" t="s">
        <v>5</v>
      </c>
      <c r="G5" s="135"/>
      <c r="H5" s="11"/>
      <c r="I5" s="137"/>
      <c r="J5" s="137"/>
      <c r="K5" s="137"/>
      <c r="L5" s="137"/>
      <c r="M5" s="137"/>
      <c r="N5" s="137"/>
      <c r="O5" s="137"/>
    </row>
    <row r="6" spans="2:15" ht="15" customHeight="1" x14ac:dyDescent="0.25">
      <c r="B6" s="14">
        <v>43484</v>
      </c>
      <c r="C6" s="14">
        <v>43639</v>
      </c>
      <c r="D6" s="59">
        <f>1620612+97032</f>
        <v>1717644</v>
      </c>
      <c r="E6" s="18">
        <f>DAYS360(B6,C6)+1</f>
        <v>155</v>
      </c>
      <c r="F6" s="33">
        <f>(D6*E6)/360</f>
        <v>739541.16666666663</v>
      </c>
      <c r="G6" s="135"/>
      <c r="H6" s="11"/>
      <c r="I6" s="137"/>
      <c r="J6" s="137"/>
      <c r="K6" s="137"/>
      <c r="L6" s="137"/>
      <c r="M6" s="137"/>
      <c r="N6" s="137"/>
      <c r="O6" s="137"/>
    </row>
    <row r="7" spans="2:15" x14ac:dyDescent="0.25">
      <c r="B7" s="120" t="s">
        <v>6</v>
      </c>
      <c r="C7" s="120"/>
      <c r="D7" s="120"/>
      <c r="E7" s="120"/>
      <c r="F7" s="34">
        <f>SUM(F6:F6)</f>
        <v>739541.16666666663</v>
      </c>
      <c r="G7" s="135"/>
      <c r="H7" s="11"/>
      <c r="I7" s="137"/>
      <c r="J7" s="137"/>
      <c r="K7" s="137"/>
      <c r="L7" s="137"/>
      <c r="M7" s="137"/>
      <c r="N7" s="137"/>
      <c r="O7" s="137"/>
    </row>
    <row r="8" spans="2:15" x14ac:dyDescent="0.25">
      <c r="B8" s="11"/>
      <c r="C8" s="11"/>
      <c r="D8" s="11"/>
      <c r="E8" s="11"/>
      <c r="F8" s="11"/>
      <c r="G8" s="136"/>
      <c r="H8" s="11"/>
      <c r="I8" s="137"/>
      <c r="J8" s="137"/>
      <c r="K8" s="137"/>
      <c r="L8" s="137"/>
      <c r="M8" s="137"/>
      <c r="N8" s="137"/>
      <c r="O8" s="137"/>
    </row>
    <row r="9" spans="2:15" ht="15" customHeight="1" x14ac:dyDescent="0.25">
      <c r="B9" s="11"/>
      <c r="C9" s="11"/>
      <c r="D9" s="11"/>
      <c r="E9" s="11"/>
      <c r="F9" s="11"/>
      <c r="G9" s="134" t="s">
        <v>58</v>
      </c>
      <c r="H9" s="11"/>
      <c r="I9" s="11"/>
      <c r="J9" s="11"/>
      <c r="K9" s="1"/>
    </row>
    <row r="10" spans="2:15" ht="15" customHeight="1" x14ac:dyDescent="0.25">
      <c r="B10" s="12" t="s">
        <v>1</v>
      </c>
      <c r="C10" s="12" t="s">
        <v>2</v>
      </c>
      <c r="D10" s="12" t="s">
        <v>3</v>
      </c>
      <c r="E10" s="12" t="s">
        <v>4</v>
      </c>
      <c r="F10" s="32" t="s">
        <v>7</v>
      </c>
      <c r="G10" s="134"/>
      <c r="H10" s="11"/>
      <c r="I10" s="31"/>
      <c r="J10" s="31"/>
      <c r="K10" s="138" t="s">
        <v>57</v>
      </c>
      <c r="L10" s="138"/>
      <c r="M10" s="138"/>
      <c r="N10" s="138"/>
      <c r="O10" s="138"/>
    </row>
    <row r="11" spans="2:15" x14ac:dyDescent="0.25">
      <c r="B11" s="14">
        <v>43484</v>
      </c>
      <c r="C11" s="14">
        <v>43639</v>
      </c>
      <c r="D11" s="59">
        <f>1620612+97032</f>
        <v>1717644</v>
      </c>
      <c r="E11" s="18">
        <f t="shared" ref="E11" si="0">DAYS360(B11,C11)+1</f>
        <v>155</v>
      </c>
      <c r="F11" s="76">
        <f>(D11*E11)/360</f>
        <v>739541.16666666663</v>
      </c>
      <c r="G11" s="134"/>
      <c r="H11" s="11"/>
      <c r="I11" s="31"/>
      <c r="J11" s="31"/>
      <c r="K11" s="138"/>
      <c r="L11" s="138"/>
      <c r="M11" s="138"/>
      <c r="N11" s="138"/>
      <c r="O11" s="138"/>
    </row>
    <row r="12" spans="2:15" x14ac:dyDescent="0.25">
      <c r="B12" s="120" t="s">
        <v>6</v>
      </c>
      <c r="C12" s="120"/>
      <c r="D12" s="120"/>
      <c r="E12" s="120"/>
      <c r="F12" s="34">
        <f>SUM(F11:F11)</f>
        <v>739541.16666666663</v>
      </c>
      <c r="G12" s="134"/>
      <c r="H12" s="11"/>
      <c r="I12" s="31"/>
      <c r="J12" s="31"/>
      <c r="K12" s="138"/>
      <c r="L12" s="138"/>
      <c r="M12" s="138"/>
      <c r="N12" s="138"/>
      <c r="O12" s="138"/>
    </row>
    <row r="13" spans="2:15" x14ac:dyDescent="0.25">
      <c r="B13" s="11"/>
      <c r="C13" s="11"/>
      <c r="D13" s="11"/>
      <c r="E13" s="11"/>
      <c r="F13" s="11"/>
      <c r="G13" s="74"/>
      <c r="H13" s="11"/>
      <c r="I13" s="31"/>
      <c r="J13" s="31"/>
      <c r="K13" s="138"/>
      <c r="L13" s="138"/>
      <c r="M13" s="138"/>
      <c r="N13" s="138"/>
      <c r="O13" s="138"/>
    </row>
    <row r="14" spans="2:15" x14ac:dyDescent="0.25">
      <c r="B14" s="12" t="s">
        <v>1</v>
      </c>
      <c r="C14" s="12" t="s">
        <v>2</v>
      </c>
      <c r="D14" s="12" t="s">
        <v>7</v>
      </c>
      <c r="E14" s="12" t="s">
        <v>4</v>
      </c>
      <c r="F14" s="17" t="s">
        <v>8</v>
      </c>
      <c r="G14" s="75"/>
      <c r="H14" s="11"/>
      <c r="I14" s="11"/>
      <c r="J14" s="31"/>
      <c r="K14" s="138"/>
      <c r="L14" s="138"/>
      <c r="M14" s="138"/>
      <c r="N14" s="138"/>
      <c r="O14" s="138"/>
    </row>
    <row r="15" spans="2:15" x14ac:dyDescent="0.25">
      <c r="B15" s="14">
        <v>43484</v>
      </c>
      <c r="C15" s="14">
        <v>43639</v>
      </c>
      <c r="D15" s="20">
        <f>+F11</f>
        <v>739541.16666666663</v>
      </c>
      <c r="E15" s="18">
        <f>DAYS360(B15,C15)+1</f>
        <v>155</v>
      </c>
      <c r="F15" s="18">
        <f>(D15*E15*0.12)/360</f>
        <v>38209.626944444441</v>
      </c>
      <c r="G15" s="52"/>
      <c r="H15" s="11"/>
      <c r="I15" s="11"/>
      <c r="J15" s="31"/>
      <c r="K15" s="138"/>
      <c r="L15" s="138"/>
      <c r="M15" s="138"/>
      <c r="N15" s="138"/>
      <c r="O15" s="138"/>
    </row>
    <row r="16" spans="2:15" x14ac:dyDescent="0.25">
      <c r="B16" s="120" t="s">
        <v>6</v>
      </c>
      <c r="C16" s="120"/>
      <c r="D16" s="120"/>
      <c r="E16" s="120"/>
      <c r="F16" s="19">
        <f>SUM(F15:F15)</f>
        <v>38209.626944444441</v>
      </c>
      <c r="G16" s="11"/>
      <c r="H16" s="11"/>
      <c r="J16" s="31"/>
      <c r="K16" s="138"/>
      <c r="L16" s="138"/>
      <c r="M16" s="138"/>
      <c r="N16" s="138"/>
      <c r="O16" s="138"/>
    </row>
    <row r="17" spans="1:18" x14ac:dyDescent="0.25">
      <c r="B17" s="11"/>
      <c r="C17" s="11"/>
      <c r="D17" s="11"/>
      <c r="E17" s="11"/>
      <c r="F17" s="11"/>
      <c r="G17" s="11"/>
      <c r="H17" s="11"/>
      <c r="J17" s="31"/>
      <c r="K17" s="31"/>
      <c r="L17" s="1"/>
    </row>
    <row r="18" spans="1:18" ht="15" customHeight="1" x14ac:dyDescent="0.25">
      <c r="B18" s="12" t="s">
        <v>1</v>
      </c>
      <c r="C18" s="12" t="s">
        <v>2</v>
      </c>
      <c r="D18" s="12" t="s">
        <v>3</v>
      </c>
      <c r="E18" s="12" t="s">
        <v>4</v>
      </c>
      <c r="F18" s="17" t="s">
        <v>9</v>
      </c>
      <c r="G18" s="22"/>
      <c r="H18" s="11"/>
      <c r="J18" s="31"/>
      <c r="K18" s="138" t="s">
        <v>45</v>
      </c>
      <c r="L18" s="138"/>
      <c r="M18" s="138"/>
      <c r="N18" s="138"/>
      <c r="O18" s="138"/>
    </row>
    <row r="19" spans="1:18" x14ac:dyDescent="0.25">
      <c r="B19" s="14">
        <v>43484</v>
      </c>
      <c r="C19" s="14">
        <v>43639</v>
      </c>
      <c r="D19" s="59">
        <v>1620612</v>
      </c>
      <c r="E19" s="18">
        <f>DAYS360(B19,C19)+1</f>
        <v>155</v>
      </c>
      <c r="F19" s="18">
        <f>(D19*E19)/720</f>
        <v>348881.75</v>
      </c>
      <c r="G19" s="22"/>
      <c r="H19" s="11"/>
      <c r="J19" s="31"/>
      <c r="K19" s="138"/>
      <c r="L19" s="138"/>
      <c r="M19" s="138"/>
      <c r="N19" s="138"/>
      <c r="O19" s="138"/>
    </row>
    <row r="20" spans="1:18" x14ac:dyDescent="0.25">
      <c r="B20" s="120" t="s">
        <v>6</v>
      </c>
      <c r="C20" s="120"/>
      <c r="D20" s="120"/>
      <c r="E20" s="120"/>
      <c r="F20" s="19">
        <f>SUM(F19)</f>
        <v>348881.75</v>
      </c>
      <c r="G20" s="22"/>
      <c r="H20" s="11"/>
      <c r="J20" s="11"/>
      <c r="K20" s="138"/>
      <c r="L20" s="138"/>
      <c r="M20" s="138"/>
      <c r="N20" s="138"/>
      <c r="O20" s="138"/>
    </row>
    <row r="21" spans="1:18" x14ac:dyDescent="0.25">
      <c r="B21" s="11"/>
      <c r="C21" s="11"/>
      <c r="D21" s="11"/>
      <c r="E21" s="11"/>
      <c r="F21" s="11"/>
      <c r="G21" s="22"/>
      <c r="H21" s="11"/>
      <c r="I21" s="11"/>
      <c r="J21" s="11"/>
      <c r="K21" s="138"/>
      <c r="L21" s="138"/>
      <c r="M21" s="138"/>
      <c r="N21" s="138"/>
      <c r="O21" s="138"/>
    </row>
    <row r="22" spans="1:18" x14ac:dyDescent="0.25">
      <c r="A22" s="11"/>
      <c r="B22" s="67"/>
      <c r="C22" s="67"/>
      <c r="D22" s="67"/>
      <c r="E22" s="67"/>
      <c r="F22" s="64"/>
      <c r="G22" s="64"/>
      <c r="H22" s="64"/>
      <c r="I22" s="64"/>
      <c r="J22" s="52"/>
      <c r="K22" s="138"/>
      <c r="L22" s="138"/>
      <c r="M22" s="138"/>
      <c r="N22" s="138"/>
      <c r="O22" s="138"/>
      <c r="P22" s="51"/>
      <c r="Q22" s="51"/>
      <c r="R22" s="51"/>
    </row>
    <row r="23" spans="1:18" x14ac:dyDescent="0.25">
      <c r="A23" s="11"/>
      <c r="B23" s="133" t="s">
        <v>64</v>
      </c>
      <c r="C23" s="133"/>
      <c r="D23" s="133"/>
      <c r="E23" s="133"/>
      <c r="F23" s="133"/>
      <c r="G23" s="133"/>
      <c r="H23" s="11"/>
      <c r="J23" s="11"/>
      <c r="K23" s="138"/>
      <c r="L23" s="138"/>
      <c r="M23" s="138"/>
      <c r="N23" s="138"/>
      <c r="O23" s="138"/>
      <c r="P23" s="51"/>
      <c r="Q23" s="51"/>
      <c r="R23" s="51"/>
    </row>
    <row r="24" spans="1:18" ht="48" x14ac:dyDescent="0.25">
      <c r="A24" s="11"/>
      <c r="B24" s="72" t="s">
        <v>59</v>
      </c>
      <c r="C24" s="72" t="s">
        <v>2</v>
      </c>
      <c r="D24" s="72" t="s">
        <v>23</v>
      </c>
      <c r="E24" s="72" t="s">
        <v>60</v>
      </c>
      <c r="F24" s="72" t="s">
        <v>61</v>
      </c>
      <c r="G24" s="72" t="s">
        <v>62</v>
      </c>
      <c r="H24" s="11"/>
      <c r="I24" s="38"/>
      <c r="J24" s="52"/>
      <c r="K24" s="138"/>
      <c r="L24" s="138"/>
      <c r="M24" s="138"/>
      <c r="N24" s="138"/>
      <c r="O24" s="138"/>
      <c r="P24" s="51"/>
      <c r="Q24" s="51"/>
      <c r="R24" s="51"/>
    </row>
    <row r="25" spans="1:18" x14ac:dyDescent="0.25">
      <c r="A25" s="11"/>
      <c r="B25" s="68">
        <v>43484</v>
      </c>
      <c r="C25" s="68">
        <v>43639</v>
      </c>
      <c r="D25" s="69">
        <f>DAYS360(B25,C25)+1</f>
        <v>155</v>
      </c>
      <c r="E25" s="70">
        <v>519264.20833333331</v>
      </c>
      <c r="F25" s="70">
        <f>E25/30</f>
        <v>17308.806944444445</v>
      </c>
      <c r="G25" s="71">
        <f>D25*F25</f>
        <v>2682865.076388889</v>
      </c>
      <c r="H25" s="11"/>
      <c r="I25" s="38"/>
      <c r="J25" s="52"/>
      <c r="K25" s="46"/>
      <c r="L25" s="46"/>
      <c r="M25" s="51"/>
      <c r="N25" s="51"/>
      <c r="O25" s="51"/>
      <c r="P25" s="51"/>
      <c r="Q25" s="51"/>
      <c r="R25" s="51"/>
    </row>
    <row r="26" spans="1:18" x14ac:dyDescent="0.25">
      <c r="A26" s="11"/>
      <c r="G26" s="11"/>
      <c r="H26" s="11"/>
      <c r="J26" s="11"/>
      <c r="K26" s="46"/>
      <c r="L26" s="46"/>
    </row>
    <row r="27" spans="1:18" x14ac:dyDescent="0.25">
      <c r="A27" s="11"/>
      <c r="G27" s="11"/>
      <c r="H27" s="11"/>
      <c r="K27" s="46"/>
      <c r="L27" s="46"/>
    </row>
    <row r="28" spans="1:18" x14ac:dyDescent="0.25">
      <c r="A28" s="11"/>
      <c r="B28" s="109" t="s">
        <v>28</v>
      </c>
      <c r="C28" s="109"/>
      <c r="D28" s="109"/>
      <c r="E28" s="109"/>
      <c r="F28" s="21">
        <f>F7+F12+F16+F20+G25</f>
        <v>4549038.7866666671</v>
      </c>
      <c r="G28" s="11"/>
      <c r="H28" s="10"/>
      <c r="J28" s="11"/>
      <c r="K28" s="46"/>
      <c r="L28" s="46"/>
    </row>
    <row r="29" spans="1:18" ht="17.25" customHeight="1" x14ac:dyDescent="0.25">
      <c r="A29" s="11"/>
      <c r="G29" s="11"/>
    </row>
    <row r="30" spans="1:18" ht="17.25" customHeight="1" x14ac:dyDescent="0.25">
      <c r="A30" s="11"/>
      <c r="G30" s="11"/>
    </row>
    <row r="31" spans="1:18" x14ac:dyDescent="0.25">
      <c r="G31" s="1"/>
      <c r="J31" s="11"/>
    </row>
    <row r="32" spans="1:18" x14ac:dyDescent="0.25">
      <c r="J32" s="38"/>
      <c r="K32" s="38"/>
    </row>
    <row r="33" spans="1:11" x14ac:dyDescent="0.25">
      <c r="J33" s="38"/>
      <c r="K33" s="38"/>
    </row>
    <row r="34" spans="1:11" x14ac:dyDescent="0.25">
      <c r="J34" s="11"/>
    </row>
    <row r="35" spans="1:11" x14ac:dyDescent="0.25">
      <c r="J35" s="11"/>
    </row>
    <row r="36" spans="1:11" x14ac:dyDescent="0.25">
      <c r="J36" s="11"/>
    </row>
    <row r="37" spans="1:11" x14ac:dyDescent="0.25">
      <c r="J37" s="11"/>
    </row>
    <row r="38" spans="1:11" x14ac:dyDescent="0.25">
      <c r="J38" s="11"/>
    </row>
    <row r="39" spans="1:11" x14ac:dyDescent="0.25">
      <c r="A39" s="11"/>
      <c r="J39" s="11"/>
    </row>
    <row r="40" spans="1:11" x14ac:dyDescent="0.25">
      <c r="A40" s="11"/>
    </row>
    <row r="41" spans="1:11" x14ac:dyDescent="0.25">
      <c r="A41" s="11"/>
    </row>
    <row r="42" spans="1:11" x14ac:dyDescent="0.25">
      <c r="A42" s="11"/>
    </row>
    <row r="43" spans="1:11" x14ac:dyDescent="0.25">
      <c r="A43" s="11"/>
    </row>
    <row r="44" spans="1:11" x14ac:dyDescent="0.25">
      <c r="A44" s="11"/>
    </row>
    <row r="45" spans="1:11" x14ac:dyDescent="0.25">
      <c r="A45" s="11"/>
    </row>
  </sheetData>
  <mergeCells count="12">
    <mergeCell ref="G9:G12"/>
    <mergeCell ref="B3:F3"/>
    <mergeCell ref="B7:E7"/>
    <mergeCell ref="B20:E20"/>
    <mergeCell ref="G4:G8"/>
    <mergeCell ref="I3:O8"/>
    <mergeCell ref="K10:O16"/>
    <mergeCell ref="K18:O24"/>
    <mergeCell ref="B12:E12"/>
    <mergeCell ref="B16:E16"/>
    <mergeCell ref="B28:E28"/>
    <mergeCell ref="B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LIQ. PRETENSIONES DEMANDA</vt:lpstr>
      <vt:lpstr> HRS EXTRAS - PROM SALARIO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ACERJC</cp:lastModifiedBy>
  <cp:revision/>
  <dcterms:created xsi:type="dcterms:W3CDTF">2023-05-23T18:21:31Z</dcterms:created>
  <dcterms:modified xsi:type="dcterms:W3CDTF">2024-04-26T20:53:03Z</dcterms:modified>
  <cp:category/>
  <cp:contentStatus/>
</cp:coreProperties>
</file>