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olina\Downloads\"/>
    </mc:Choice>
  </mc:AlternateContent>
  <bookViews>
    <workbookView xWindow="0" yWindow="0" windowWidth="20490" windowHeight="7050"/>
  </bookViews>
  <sheets>
    <sheet name="LIQ. PRETENSIONES DEMANDA" sheetId="1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3" l="1"/>
  <c r="D21" i="13"/>
  <c r="D20" i="13"/>
  <c r="D19" i="13"/>
  <c r="D18" i="13"/>
  <c r="D17" i="13"/>
  <c r="D13" i="13"/>
  <c r="D12" i="13"/>
  <c r="D11" i="13"/>
  <c r="D10" i="13"/>
  <c r="D9" i="13"/>
  <c r="D8" i="13"/>
  <c r="E50" i="13"/>
  <c r="F50" i="13" s="1"/>
  <c r="E26" i="13"/>
  <c r="F26" i="13" s="1"/>
  <c r="E27" i="13"/>
  <c r="F27" i="13" s="1"/>
  <c r="E17" i="13"/>
  <c r="F17" i="13" s="1"/>
  <c r="E18" i="13"/>
  <c r="F18" i="13" s="1"/>
  <c r="E8" i="13"/>
  <c r="E9" i="13"/>
  <c r="F9" i="13" s="1"/>
  <c r="F8" i="13" l="1"/>
  <c r="E35" i="13" l="1"/>
  <c r="F35" i="13" s="1"/>
  <c r="F36" i="13" s="1"/>
  <c r="E31" i="13"/>
  <c r="F31" i="13" s="1"/>
  <c r="E30" i="13"/>
  <c r="F30" i="13" s="1"/>
  <c r="E29" i="13"/>
  <c r="F29" i="13" s="1"/>
  <c r="E28" i="13"/>
  <c r="E22" i="13"/>
  <c r="F22" i="13" s="1"/>
  <c r="E21" i="13"/>
  <c r="F21" i="13" s="1"/>
  <c r="E20" i="13"/>
  <c r="F20" i="13" s="1"/>
  <c r="E19" i="13"/>
  <c r="F19" i="13" s="1"/>
  <c r="E13" i="13"/>
  <c r="F13" i="13" s="1"/>
  <c r="E12" i="13"/>
  <c r="F12" i="13" s="1"/>
  <c r="E11" i="13"/>
  <c r="F11" i="13" s="1"/>
  <c r="E10" i="13"/>
  <c r="F10" i="13" s="1"/>
  <c r="F14" i="13" l="1"/>
  <c r="F23" i="13"/>
  <c r="F28" i="13"/>
  <c r="F32" i="13" s="1"/>
  <c r="E52" i="13" l="1"/>
  <c r="F52" i="13" s="1"/>
  <c r="E51" i="13"/>
  <c r="F51" i="13" s="1"/>
  <c r="E44" i="13"/>
  <c r="E43" i="13"/>
  <c r="H41" i="13"/>
  <c r="I41" i="13" s="1"/>
  <c r="E45" i="13" s="1"/>
  <c r="F57" i="13" l="1"/>
  <c r="B57" i="13"/>
  <c r="F53" i="13"/>
  <c r="F45" i="13"/>
  <c r="F46" i="13" s="1"/>
  <c r="F59" i="13" s="1"/>
</calcChain>
</file>

<file path=xl/sharedStrings.xml><?xml version="1.0" encoding="utf-8"?>
<sst xmlns="http://schemas.openxmlformats.org/spreadsheetml/2006/main" count="53" uniqueCount="32">
  <si>
    <t>LIQUIDACIÓN DE LAS PRETENSIONES DE LA DEMANDA</t>
  </si>
  <si>
    <t>DESDE</t>
  </si>
  <si>
    <t>HASTA</t>
  </si>
  <si>
    <t>SALARIO</t>
  </si>
  <si>
    <t>DÍAS</t>
  </si>
  <si>
    <t>PRIMAS</t>
  </si>
  <si>
    <t>Teniendo en cuenta que el demandante presuntamente debia devengar menos de 2 SMMLV, para el calculo de las primas y cesantías se incluyó el Aux. de transporte</t>
  </si>
  <si>
    <t>TOTAL ADEUDADO</t>
  </si>
  <si>
    <t>CESANTÍAS</t>
  </si>
  <si>
    <t>INTERESES</t>
  </si>
  <si>
    <t>VACACIONES</t>
  </si>
  <si>
    <t>INDEMNIZACIÓN ARTÍCULO 64 DEL C.S.T.</t>
  </si>
  <si>
    <t>AÑO</t>
  </si>
  <si>
    <t>MES</t>
  </si>
  <si>
    <t>DÍA</t>
  </si>
  <si>
    <t>Tiempo Laborado en:</t>
  </si>
  <si>
    <t>Fecha de Terminación: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</si>
  <si>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</si>
  <si>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</si>
  <si>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</si>
  <si>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</si>
  <si>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</si>
  <si>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</si>
  <si>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</si>
  <si>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</si>
  <si>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SANCIÓN POR NO CONSIGNACIÓN DE CESANTÍAS</t>
  </si>
  <si>
    <t>SANCIÓN</t>
  </si>
  <si>
    <t>INDEMNIZACIÓN DEL ARTÍCULO 65 DEL C.S.T.</t>
  </si>
  <si>
    <t>Salario diario</t>
  </si>
  <si>
    <t>x 720 días</t>
  </si>
  <si>
    <t>Total</t>
  </si>
  <si>
    <t>Total Liquidación: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</si>
</sst>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0.0"/>
    <numFmt numFmtId="169" formatCode="_-&quot;$&quot;\ * #,##0_-;\-&quot;$&quot;\ * #,##0_-;_-&quot;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4" fontId="4" fillId="0" borderId="1" xfId="1" applyNumberFormat="1" applyFont="1" applyBorder="1"/>
    <xf numFmtId="164" fontId="4" fillId="0" borderId="1" xfId="1" applyNumberFormat="1" applyFont="1" applyFill="1" applyBorder="1"/>
    <xf numFmtId="164" fontId="3" fillId="3" borderId="1" xfId="1" applyNumberFormat="1" applyFont="1" applyFill="1" applyBorder="1"/>
    <xf numFmtId="0" fontId="4" fillId="0" borderId="0" xfId="0" applyFont="1"/>
    <xf numFmtId="44" fontId="6" fillId="4" borderId="1" xfId="0" applyNumberFormat="1" applyFont="1" applyFill="1" applyBorder="1"/>
    <xf numFmtId="164" fontId="4" fillId="0" borderId="1" xfId="6" applyNumberFormat="1" applyFont="1" applyBorder="1"/>
    <xf numFmtId="14" fontId="4" fillId="0" borderId="1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8" fontId="8" fillId="2" borderId="1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8" fillId="0" borderId="1" xfId="0" applyFont="1" applyBorder="1"/>
    <xf numFmtId="164" fontId="4" fillId="0" borderId="1" xfId="1" applyNumberFormat="1" applyFont="1" applyBorder="1" applyAlignment="1">
      <alignment vertical="center"/>
    </xf>
    <xf numFmtId="164" fontId="4" fillId="0" borderId="1" xfId="1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9" fontId="3" fillId="3" borderId="1" xfId="0" applyNumberFormat="1" applyFont="1" applyFill="1" applyBorder="1"/>
    <xf numFmtId="164" fontId="3" fillId="0" borderId="1" xfId="1" applyNumberFormat="1" applyFont="1" applyFill="1" applyBorder="1" applyAlignment="1">
      <alignment horizontal="center"/>
    </xf>
    <xf numFmtId="164" fontId="4" fillId="0" borderId="1" xfId="6" applyNumberFormat="1" applyFont="1" applyFill="1" applyBorder="1"/>
    <xf numFmtId="164" fontId="3" fillId="0" borderId="1" xfId="1" applyNumberFormat="1" applyFont="1" applyFill="1" applyBorder="1"/>
    <xf numFmtId="0" fontId="7" fillId="0" borderId="1" xfId="0" applyFont="1" applyBorder="1" applyAlignment="1">
      <alignment horizontal="center"/>
    </xf>
    <xf numFmtId="8" fontId="8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8" fontId="8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8" fontId="4" fillId="0" borderId="1" xfId="20" applyNumberFormat="1" applyFont="1" applyBorder="1" applyAlignment="1">
      <alignment horizontal="center"/>
    </xf>
    <xf numFmtId="44" fontId="4" fillId="0" borderId="1" xfId="2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8" fontId="7" fillId="0" borderId="1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21">
    <cellStyle name="Millares" xfId="1" builtinId="3"/>
    <cellStyle name="Millares [0] 2" xfId="3"/>
    <cellStyle name="Millares 2" xfId="8"/>
    <cellStyle name="Millares 3" xfId="10"/>
    <cellStyle name="Millares 4" xfId="6"/>
    <cellStyle name="Millares 5" xfId="12"/>
    <cellStyle name="Millares 6" xfId="15"/>
    <cellStyle name="Millares 7" xfId="16"/>
    <cellStyle name="Millares 8" xfId="18"/>
    <cellStyle name="Moneda" xfId="20" builtinId="4"/>
    <cellStyle name="Moneda [0] 2" xfId="5"/>
    <cellStyle name="Moneda 2" xfId="4"/>
    <cellStyle name="Moneda 3" xfId="9"/>
    <cellStyle name="Moneda 4" xfId="11"/>
    <cellStyle name="Moneda 5" xfId="7"/>
    <cellStyle name="Moneda 6" xfId="13"/>
    <cellStyle name="Moneda 7" xfId="14"/>
    <cellStyle name="Moneda 8" xfId="17"/>
    <cellStyle name="Moneda 9" xfId="19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374571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5</xdr:col>
      <xdr:colOff>374571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59"/>
  <sheetViews>
    <sheetView tabSelected="1" topLeftCell="A40" workbookViewId="0">
      <selection activeCell="I14" sqref="I14"/>
    </sheetView>
  </sheetViews>
  <sheetFormatPr baseColWidth="10" defaultColWidth="11.42578125" defaultRowHeight="15" x14ac:dyDescent="0.25"/>
  <cols>
    <col min="2" max="2" width="16.42578125" style="6" customWidth="1"/>
    <col min="3" max="4" width="11.42578125" style="6"/>
    <col min="5" max="5" width="15.7109375" style="6" customWidth="1"/>
    <col min="6" max="6" width="18.85546875" style="6" customWidth="1"/>
    <col min="7" max="7" width="11.42578125" style="6"/>
  </cols>
  <sheetData>
    <row r="5" spans="2:11" s="6" customFormat="1" ht="15" customHeight="1" x14ac:dyDescent="0.2">
      <c r="B5" s="42" t="s">
        <v>0</v>
      </c>
      <c r="C5" s="42"/>
      <c r="D5" s="42"/>
      <c r="E5" s="42"/>
      <c r="F5" s="42"/>
    </row>
    <row r="6" spans="2:11" ht="15" customHeight="1" x14ac:dyDescent="0.25">
      <c r="B6"/>
      <c r="C6"/>
      <c r="D6"/>
      <c r="E6"/>
      <c r="F6"/>
    </row>
    <row r="7" spans="2:11" ht="15" customHeight="1" x14ac:dyDescent="0.25">
      <c r="B7" s="1" t="s">
        <v>1</v>
      </c>
      <c r="C7" s="1" t="s">
        <v>2</v>
      </c>
      <c r="D7" s="1" t="s">
        <v>3</v>
      </c>
      <c r="E7" s="1" t="s">
        <v>4</v>
      </c>
      <c r="F7" s="2" t="s">
        <v>5</v>
      </c>
      <c r="G7" s="43" t="s">
        <v>6</v>
      </c>
      <c r="H7" s="43"/>
    </row>
    <row r="8" spans="2:11" ht="15" customHeight="1" x14ac:dyDescent="0.25">
      <c r="B8" s="9">
        <v>40043</v>
      </c>
      <c r="C8" s="9">
        <v>40178</v>
      </c>
      <c r="D8" s="8">
        <f>927000+53900</f>
        <v>980900</v>
      </c>
      <c r="E8" s="3">
        <f t="shared" ref="E8:E9" si="0">DAYS360(B8,C8)+1</f>
        <v>134</v>
      </c>
      <c r="F8" s="4">
        <f t="shared" ref="F8:F9" si="1">(D8*E8)/360</f>
        <v>365112.77777777775</v>
      </c>
      <c r="G8" s="43"/>
      <c r="H8" s="43"/>
    </row>
    <row r="9" spans="2:11" ht="15" customHeight="1" x14ac:dyDescent="0.25">
      <c r="B9" s="9">
        <v>40179</v>
      </c>
      <c r="C9" s="9">
        <v>40543</v>
      </c>
      <c r="D9" s="8">
        <f>927000+61500</f>
        <v>988500</v>
      </c>
      <c r="E9" s="3">
        <f t="shared" si="0"/>
        <v>361</v>
      </c>
      <c r="F9" s="4">
        <f t="shared" si="1"/>
        <v>991245.83333333337</v>
      </c>
      <c r="G9" s="43"/>
      <c r="H9" s="43"/>
    </row>
    <row r="10" spans="2:11" x14ac:dyDescent="0.25">
      <c r="B10" s="9">
        <v>40544</v>
      </c>
      <c r="C10" s="9">
        <v>40908</v>
      </c>
      <c r="D10" s="8">
        <f>927000+63600</f>
        <v>990600</v>
      </c>
      <c r="E10" s="3">
        <f t="shared" ref="E10:E13" si="2">DAYS360(B10,C10)+1</f>
        <v>361</v>
      </c>
      <c r="F10" s="4">
        <f>(D10*E10)/360</f>
        <v>993351.66666666663</v>
      </c>
      <c r="G10" s="43"/>
      <c r="H10" s="43"/>
    </row>
    <row r="11" spans="2:11" x14ac:dyDescent="0.25">
      <c r="B11" s="9">
        <v>40909</v>
      </c>
      <c r="C11" s="9">
        <v>41274</v>
      </c>
      <c r="D11" s="8">
        <f>927000+67800</f>
        <v>994800</v>
      </c>
      <c r="E11" s="3">
        <f t="shared" si="2"/>
        <v>361</v>
      </c>
      <c r="F11" s="4">
        <f>(D11*E11)/360</f>
        <v>997563.33333333337</v>
      </c>
      <c r="G11" s="43"/>
      <c r="H11" s="43"/>
    </row>
    <row r="12" spans="2:11" x14ac:dyDescent="0.25">
      <c r="B12" s="9">
        <v>41275</v>
      </c>
      <c r="C12" s="9">
        <v>41639</v>
      </c>
      <c r="D12" s="8">
        <f>927000+70500</f>
        <v>997500</v>
      </c>
      <c r="E12" s="3">
        <f t="shared" si="2"/>
        <v>361</v>
      </c>
      <c r="F12" s="4">
        <f t="shared" ref="F12:F13" si="3">(D12*E12)/360</f>
        <v>1000270.8333333334</v>
      </c>
      <c r="G12" s="43"/>
      <c r="H12" s="43"/>
    </row>
    <row r="13" spans="2:11" x14ac:dyDescent="0.25">
      <c r="B13" s="9">
        <v>41640</v>
      </c>
      <c r="C13" s="9">
        <v>41764</v>
      </c>
      <c r="D13" s="8">
        <f>927000+72000</f>
        <v>999000</v>
      </c>
      <c r="E13" s="3">
        <f t="shared" si="2"/>
        <v>125</v>
      </c>
      <c r="F13" s="4">
        <f t="shared" si="3"/>
        <v>346875</v>
      </c>
      <c r="G13" s="43"/>
      <c r="H13" s="43"/>
    </row>
    <row r="14" spans="2:11" ht="15" customHeight="1" x14ac:dyDescent="0.25">
      <c r="B14" s="33" t="s">
        <v>7</v>
      </c>
      <c r="C14" s="33"/>
      <c r="D14" s="33"/>
      <c r="E14" s="33"/>
      <c r="F14" s="5">
        <f>SUM(F8:F13)</f>
        <v>4694419.444444444</v>
      </c>
      <c r="G14" s="43"/>
      <c r="H14" s="43"/>
    </row>
    <row r="15" spans="2:11" ht="15" customHeight="1" x14ac:dyDescent="0.25"/>
    <row r="16" spans="2:11" ht="15" customHeight="1" x14ac:dyDescent="0.25">
      <c r="B16" s="1" t="s">
        <v>1</v>
      </c>
      <c r="C16" s="1" t="s">
        <v>2</v>
      </c>
      <c r="D16" s="1" t="s">
        <v>3</v>
      </c>
      <c r="E16" s="1" t="s">
        <v>4</v>
      </c>
      <c r="F16" s="2" t="s">
        <v>8</v>
      </c>
      <c r="G16" s="43" t="s">
        <v>6</v>
      </c>
      <c r="H16" s="43"/>
      <c r="J16" s="6"/>
      <c r="K16" s="6"/>
    </row>
    <row r="17" spans="2:11" x14ac:dyDescent="0.25">
      <c r="B17" s="9">
        <v>40043</v>
      </c>
      <c r="C17" s="9">
        <v>40178</v>
      </c>
      <c r="D17" s="8">
        <f>927000+53900</f>
        <v>980900</v>
      </c>
      <c r="E17" s="21">
        <f t="shared" ref="E17:E18" si="4">DAYS360(B17,C17)+1</f>
        <v>134</v>
      </c>
      <c r="F17" s="22">
        <f t="shared" ref="F17:F18" si="5">(D17*E17)/360</f>
        <v>365112.77777777775</v>
      </c>
      <c r="G17" s="43"/>
      <c r="H17" s="43"/>
      <c r="J17" s="6"/>
      <c r="K17" s="6"/>
    </row>
    <row r="18" spans="2:11" x14ac:dyDescent="0.25">
      <c r="B18" s="9">
        <v>40179</v>
      </c>
      <c r="C18" s="9">
        <v>40543</v>
      </c>
      <c r="D18" s="8">
        <f>927000+61500</f>
        <v>988500</v>
      </c>
      <c r="E18" s="21">
        <f t="shared" si="4"/>
        <v>361</v>
      </c>
      <c r="F18" s="22">
        <f t="shared" si="5"/>
        <v>991245.83333333337</v>
      </c>
      <c r="G18" s="43"/>
      <c r="H18" s="43"/>
      <c r="J18" s="6"/>
      <c r="K18" s="6"/>
    </row>
    <row r="19" spans="2:11" x14ac:dyDescent="0.25">
      <c r="B19" s="9">
        <v>40544</v>
      </c>
      <c r="C19" s="9">
        <v>40908</v>
      </c>
      <c r="D19" s="8">
        <f>927000+63600</f>
        <v>990600</v>
      </c>
      <c r="E19" s="21">
        <f>DAYS360(B19,C19)+1</f>
        <v>361</v>
      </c>
      <c r="F19" s="22">
        <f>(D19*E19)/360</f>
        <v>993351.66666666663</v>
      </c>
      <c r="G19" s="43"/>
      <c r="H19" s="43"/>
      <c r="J19" s="6"/>
      <c r="K19" s="6"/>
    </row>
    <row r="20" spans="2:11" s="6" customFormat="1" ht="12" customHeight="1" x14ac:dyDescent="0.2">
      <c r="B20" s="9">
        <v>40909</v>
      </c>
      <c r="C20" s="9">
        <v>41274</v>
      </c>
      <c r="D20" s="8">
        <f>927000+67800</f>
        <v>994800</v>
      </c>
      <c r="E20" s="21">
        <f>DAYS360(B20,C20)+1</f>
        <v>361</v>
      </c>
      <c r="F20" s="22">
        <f>(D20*E20)/360</f>
        <v>997563.33333333337</v>
      </c>
      <c r="G20" s="43"/>
      <c r="H20" s="43"/>
    </row>
    <row r="21" spans="2:11" s="6" customFormat="1" ht="12" customHeight="1" x14ac:dyDescent="0.25">
      <c r="B21" s="9">
        <v>41275</v>
      </c>
      <c r="C21" s="9">
        <v>41639</v>
      </c>
      <c r="D21" s="8">
        <f>927000+70500</f>
        <v>997500</v>
      </c>
      <c r="E21" s="21">
        <f>DAYS360(B21,C21)+1</f>
        <v>361</v>
      </c>
      <c r="F21" s="22">
        <f>(D21*E21)/360</f>
        <v>1000270.8333333334</v>
      </c>
      <c r="G21" s="43"/>
      <c r="H21" s="43"/>
      <c r="J21"/>
      <c r="K21"/>
    </row>
    <row r="22" spans="2:11" s="6" customFormat="1" ht="12" customHeight="1" x14ac:dyDescent="0.2">
      <c r="B22" s="9">
        <v>41640</v>
      </c>
      <c r="C22" s="9">
        <v>41764</v>
      </c>
      <c r="D22" s="8">
        <f>927000+72000</f>
        <v>999000</v>
      </c>
      <c r="E22" s="21">
        <f t="shared" ref="E22" si="6">DAYS360(B22,C22)+1</f>
        <v>125</v>
      </c>
      <c r="F22" s="22">
        <f t="shared" ref="F22" si="7">(D22*E22)/360</f>
        <v>346875</v>
      </c>
      <c r="G22" s="43"/>
      <c r="H22" s="43"/>
    </row>
    <row r="23" spans="2:11" s="6" customFormat="1" ht="12" customHeight="1" x14ac:dyDescent="0.2">
      <c r="B23" s="33" t="s">
        <v>7</v>
      </c>
      <c r="C23" s="33"/>
      <c r="D23" s="33"/>
      <c r="E23" s="33"/>
      <c r="F23" s="5">
        <f>SUM(F17:F22)</f>
        <v>4694419.444444444</v>
      </c>
      <c r="G23" s="43"/>
      <c r="H23" s="43"/>
    </row>
    <row r="24" spans="2:11" s="6" customFormat="1" ht="12" customHeight="1" x14ac:dyDescent="0.2"/>
    <row r="25" spans="2:11" s="6" customFormat="1" ht="12" customHeight="1" x14ac:dyDescent="0.2">
      <c r="B25" s="1" t="s">
        <v>1</v>
      </c>
      <c r="C25" s="1" t="s">
        <v>2</v>
      </c>
      <c r="D25" s="1" t="s">
        <v>8</v>
      </c>
      <c r="E25" s="1" t="s">
        <v>4</v>
      </c>
      <c r="F25" s="2" t="s">
        <v>9</v>
      </c>
    </row>
    <row r="26" spans="2:11" s="6" customFormat="1" ht="12" customHeight="1" x14ac:dyDescent="0.2">
      <c r="B26" s="9">
        <v>40043</v>
      </c>
      <c r="C26" s="9">
        <v>40178</v>
      </c>
      <c r="D26" s="22">
        <v>365112.77777777775</v>
      </c>
      <c r="E26" s="3">
        <f t="shared" ref="E26:E27" si="8">DAYS360(B26,C26)+1</f>
        <v>134</v>
      </c>
      <c r="F26" s="3">
        <f t="shared" ref="F26:F27" si="9">(D26*E26*0.12)/360</f>
        <v>16308.370740740738</v>
      </c>
    </row>
    <row r="27" spans="2:11" s="6" customFormat="1" ht="12" customHeight="1" x14ac:dyDescent="0.2">
      <c r="B27" s="9">
        <v>40179</v>
      </c>
      <c r="C27" s="9">
        <v>40543</v>
      </c>
      <c r="D27" s="22">
        <v>991245.83333333337</v>
      </c>
      <c r="E27" s="3">
        <f t="shared" si="8"/>
        <v>361</v>
      </c>
      <c r="F27" s="3">
        <f t="shared" si="9"/>
        <v>119279.91527777778</v>
      </c>
    </row>
    <row r="28" spans="2:11" s="6" customFormat="1" ht="12" customHeight="1" x14ac:dyDescent="0.2">
      <c r="B28" s="9">
        <v>40544</v>
      </c>
      <c r="C28" s="9">
        <v>40908</v>
      </c>
      <c r="D28" s="22">
        <v>993351.66666666663</v>
      </c>
      <c r="E28" s="3">
        <f>DAYS360(B28,C28)+1</f>
        <v>361</v>
      </c>
      <c r="F28" s="3">
        <f>(D28*E28*0.12)/360</f>
        <v>119533.31722222221</v>
      </c>
    </row>
    <row r="29" spans="2:11" s="6" customFormat="1" ht="12" customHeight="1" x14ac:dyDescent="0.2">
      <c r="B29" s="9">
        <v>40909</v>
      </c>
      <c r="C29" s="9">
        <v>41274</v>
      </c>
      <c r="D29" s="22">
        <v>997563.33333333337</v>
      </c>
      <c r="E29" s="3">
        <f>DAYS360(B29,C29)+1</f>
        <v>361</v>
      </c>
      <c r="F29" s="3">
        <f>(D29*E29*0.12)/360</f>
        <v>120040.12111111112</v>
      </c>
    </row>
    <row r="30" spans="2:11" s="6" customFormat="1" ht="12" customHeight="1" x14ac:dyDescent="0.2">
      <c r="B30" s="9">
        <v>41275</v>
      </c>
      <c r="C30" s="9">
        <v>41639</v>
      </c>
      <c r="D30" s="22">
        <v>1000270.8333333334</v>
      </c>
      <c r="E30" s="3">
        <f>DAYS360(B30,C30)+1</f>
        <v>361</v>
      </c>
      <c r="F30" s="3">
        <f>(D30*E30*0.12)/360</f>
        <v>120365.92361111111</v>
      </c>
    </row>
    <row r="31" spans="2:11" x14ac:dyDescent="0.25">
      <c r="B31" s="9">
        <v>41640</v>
      </c>
      <c r="C31" s="9">
        <v>41764</v>
      </c>
      <c r="D31" s="22">
        <v>346875</v>
      </c>
      <c r="E31" s="3">
        <f t="shared" ref="E31" si="10">DAYS360(B31,C31)+1</f>
        <v>125</v>
      </c>
      <c r="F31" s="3">
        <f t="shared" ref="F31" si="11">(D31*E31*0.12)/360</f>
        <v>14453.125</v>
      </c>
    </row>
    <row r="32" spans="2:11" s="6" customFormat="1" ht="12" x14ac:dyDescent="0.2">
      <c r="B32" s="33" t="s">
        <v>7</v>
      </c>
      <c r="C32" s="33"/>
      <c r="D32" s="33"/>
      <c r="E32" s="33"/>
      <c r="F32" s="5">
        <f>SUM(F26:F31)</f>
        <v>509980.77296296298</v>
      </c>
    </row>
    <row r="33" spans="2:13" s="6" customFormat="1" ht="12" x14ac:dyDescent="0.2"/>
    <row r="34" spans="2:13" s="6" customFormat="1" ht="12" x14ac:dyDescent="0.2">
      <c r="B34" s="1" t="s">
        <v>1</v>
      </c>
      <c r="C34" s="1" t="s">
        <v>2</v>
      </c>
      <c r="D34" s="1" t="s">
        <v>3</v>
      </c>
      <c r="E34" s="1" t="s">
        <v>4</v>
      </c>
      <c r="F34" s="2" t="s">
        <v>10</v>
      </c>
    </row>
    <row r="35" spans="2:13" s="6" customFormat="1" ht="12" x14ac:dyDescent="0.2">
      <c r="B35" s="9">
        <v>40043</v>
      </c>
      <c r="C35" s="9">
        <v>41764</v>
      </c>
      <c r="D35" s="8">
        <v>927000</v>
      </c>
      <c r="E35" s="3">
        <f>DAYS360(B35,C35)+1</f>
        <v>1698</v>
      </c>
      <c r="F35" s="3">
        <f>(D35*E35)/720</f>
        <v>2186175</v>
      </c>
    </row>
    <row r="36" spans="2:13" s="6" customFormat="1" ht="12" x14ac:dyDescent="0.2">
      <c r="B36" s="33" t="s">
        <v>7</v>
      </c>
      <c r="C36" s="33"/>
      <c r="D36" s="33"/>
      <c r="E36" s="33"/>
      <c r="F36" s="5">
        <f>SUM(F35)</f>
        <v>2186175</v>
      </c>
    </row>
    <row r="37" spans="2:13" x14ac:dyDescent="0.25">
      <c r="B37"/>
      <c r="C37"/>
      <c r="D37"/>
      <c r="E37"/>
      <c r="F37"/>
      <c r="G37"/>
      <c r="M37" s="6"/>
    </row>
    <row r="38" spans="2:13" x14ac:dyDescent="0.25">
      <c r="B38" s="34" t="s">
        <v>11</v>
      </c>
      <c r="C38" s="34"/>
      <c r="D38" s="34"/>
      <c r="E38" s="34"/>
      <c r="F38" s="34"/>
      <c r="G38" s="34"/>
      <c r="H38" s="34"/>
      <c r="I38" s="34"/>
      <c r="M38" s="6"/>
    </row>
    <row r="39" spans="2:13" x14ac:dyDescent="0.25">
      <c r="B39" s="40"/>
      <c r="C39" s="40"/>
      <c r="D39" s="40"/>
      <c r="E39" s="10" t="s">
        <v>12</v>
      </c>
      <c r="F39" s="10" t="s">
        <v>13</v>
      </c>
      <c r="G39" s="10" t="s">
        <v>14</v>
      </c>
      <c r="H39" s="41" t="s">
        <v>15</v>
      </c>
      <c r="I39" s="41"/>
      <c r="M39" s="6"/>
    </row>
    <row r="40" spans="2:13" x14ac:dyDescent="0.25">
      <c r="B40" s="28" t="s">
        <v>16</v>
      </c>
      <c r="C40" s="28"/>
      <c r="D40" s="28"/>
      <c r="E40" s="11">
        <v>2014</v>
      </c>
      <c r="F40" s="11">
        <v>5</v>
      </c>
      <c r="G40" s="12">
        <v>5</v>
      </c>
      <c r="H40" s="13" t="s">
        <v>17</v>
      </c>
      <c r="I40" s="14" t="s">
        <v>18</v>
      </c>
      <c r="M40" s="6"/>
    </row>
    <row r="41" spans="2:13" x14ac:dyDescent="0.25">
      <c r="B41" s="28" t="s">
        <v>19</v>
      </c>
      <c r="C41" s="28"/>
      <c r="D41" s="28"/>
      <c r="E41" s="15">
        <v>2009</v>
      </c>
      <c r="F41" s="15">
        <v>8</v>
      </c>
      <c r="G41" s="16">
        <v>18</v>
      </c>
      <c r="H41" s="17">
        <f>(E40-E41)*360+(F40-F41)*30+(G40-G41+1)</f>
        <v>1698</v>
      </c>
      <c r="I41" s="18">
        <f>H41/360</f>
        <v>4.7166666666666668</v>
      </c>
      <c r="M41" s="6"/>
    </row>
    <row r="42" spans="2:13" x14ac:dyDescent="0.25">
      <c r="B42" s="28" t="s">
        <v>20</v>
      </c>
      <c r="C42" s="28"/>
      <c r="D42" s="28"/>
      <c r="E42" s="39">
        <v>927000</v>
      </c>
      <c r="F42" s="39"/>
      <c r="G42" s="39"/>
      <c r="H42" s="39"/>
      <c r="I42" s="39"/>
      <c r="M42" s="6"/>
    </row>
    <row r="43" spans="2:13" x14ac:dyDescent="0.25">
      <c r="B43" s="28" t="s">
        <v>21</v>
      </c>
      <c r="C43" s="28"/>
      <c r="D43" s="28"/>
      <c r="E43" s="29">
        <f>E42/30</f>
        <v>30900</v>
      </c>
      <c r="F43" s="29"/>
      <c r="G43" s="29"/>
      <c r="H43" s="29"/>
      <c r="I43" s="29"/>
      <c r="M43" s="6"/>
    </row>
    <row r="44" spans="2:13" x14ac:dyDescent="0.25">
      <c r="B44" s="28" t="s">
        <v>22</v>
      </c>
      <c r="C44" s="28"/>
      <c r="D44" s="28"/>
      <c r="E44" s="29">
        <f>E42</f>
        <v>927000</v>
      </c>
      <c r="F44" s="29"/>
      <c r="G44" s="29"/>
      <c r="H44" s="29"/>
      <c r="I44" s="29"/>
      <c r="M44" s="6"/>
    </row>
    <row r="45" spans="2:13" x14ac:dyDescent="0.25">
      <c r="B45" s="28" t="s">
        <v>23</v>
      </c>
      <c r="C45" s="28"/>
      <c r="D45" s="28"/>
      <c r="E45" s="19">
        <f>I41-1</f>
        <v>3.7166666666666668</v>
      </c>
      <c r="F45" s="29">
        <f>E45*20*E43</f>
        <v>2296900.0000000005</v>
      </c>
      <c r="G45" s="29"/>
      <c r="H45" s="29"/>
      <c r="I45" s="29"/>
    </row>
    <row r="46" spans="2:13" x14ac:dyDescent="0.25">
      <c r="B46" s="31" t="s">
        <v>24</v>
      </c>
      <c r="C46" s="31"/>
      <c r="D46" s="31"/>
      <c r="E46" s="20"/>
      <c r="F46" s="32">
        <f>SUM(F45)</f>
        <v>2296900.0000000005</v>
      </c>
      <c r="G46" s="32"/>
      <c r="H46" s="32"/>
      <c r="I46" s="32"/>
    </row>
    <row r="48" spans="2:13" x14ac:dyDescent="0.25">
      <c r="B48" s="33" t="s">
        <v>25</v>
      </c>
      <c r="C48" s="33"/>
      <c r="D48" s="33"/>
      <c r="E48" s="33"/>
      <c r="F48" s="33"/>
    </row>
    <row r="49" spans="2:6" x14ac:dyDescent="0.25">
      <c r="B49" s="1" t="s">
        <v>1</v>
      </c>
      <c r="C49" s="1" t="s">
        <v>2</v>
      </c>
      <c r="D49" s="1" t="s">
        <v>3</v>
      </c>
      <c r="E49" s="1" t="s">
        <v>4</v>
      </c>
      <c r="F49" s="25" t="s">
        <v>26</v>
      </c>
    </row>
    <row r="50" spans="2:6" x14ac:dyDescent="0.25">
      <c r="B50" s="9">
        <v>40224</v>
      </c>
      <c r="C50" s="9">
        <v>40588</v>
      </c>
      <c r="D50" s="26">
        <v>927000</v>
      </c>
      <c r="E50" s="4">
        <f t="shared" ref="E50" si="12">DAYS360(B50,C50)+1</f>
        <v>360</v>
      </c>
      <c r="F50" s="4">
        <f t="shared" ref="F50" si="13">(D50/30)*E50</f>
        <v>11124000</v>
      </c>
    </row>
    <row r="51" spans="2:6" x14ac:dyDescent="0.25">
      <c r="B51" s="9">
        <v>40589</v>
      </c>
      <c r="C51" s="9">
        <v>40953</v>
      </c>
      <c r="D51" s="26">
        <v>927000</v>
      </c>
      <c r="E51" s="4">
        <f t="shared" ref="E51:E52" si="14">DAYS360(B51,C51)+1</f>
        <v>360</v>
      </c>
      <c r="F51" s="4">
        <f t="shared" ref="F51" si="15">(D51/30)*E51</f>
        <v>11124000</v>
      </c>
    </row>
    <row r="52" spans="2:6" x14ac:dyDescent="0.25">
      <c r="B52" s="9">
        <v>40954</v>
      </c>
      <c r="C52" s="9">
        <v>41319</v>
      </c>
      <c r="D52" s="26">
        <v>927000</v>
      </c>
      <c r="E52" s="4">
        <f t="shared" si="14"/>
        <v>360</v>
      </c>
      <c r="F52" s="4">
        <f>(D52/30)*E52</f>
        <v>11124000</v>
      </c>
    </row>
    <row r="53" spans="2:6" x14ac:dyDescent="0.25">
      <c r="B53" s="33" t="s">
        <v>7</v>
      </c>
      <c r="C53" s="33"/>
      <c r="D53" s="33"/>
      <c r="E53" s="33"/>
      <c r="F53" s="27">
        <f>SUM(F50:F52)</f>
        <v>33372000</v>
      </c>
    </row>
    <row r="55" spans="2:6" ht="14.45" customHeight="1" x14ac:dyDescent="0.25">
      <c r="B55" s="34" t="s">
        <v>27</v>
      </c>
      <c r="C55" s="34"/>
      <c r="D55" s="34"/>
      <c r="E55" s="34"/>
      <c r="F55" s="34"/>
    </row>
    <row r="56" spans="2:6" x14ac:dyDescent="0.25">
      <c r="B56" s="35" t="s">
        <v>28</v>
      </c>
      <c r="C56" s="35"/>
      <c r="D56" s="35" t="s">
        <v>29</v>
      </c>
      <c r="E56" s="35"/>
      <c r="F56" s="23" t="s">
        <v>30</v>
      </c>
    </row>
    <row r="57" spans="2:6" x14ac:dyDescent="0.25">
      <c r="B57" s="36">
        <f>E43</f>
        <v>30900</v>
      </c>
      <c r="C57" s="37"/>
      <c r="D57" s="38">
        <v>720</v>
      </c>
      <c r="E57" s="38"/>
      <c r="F57" s="24">
        <f>B57*D57</f>
        <v>22248000</v>
      </c>
    </row>
    <row r="59" spans="2:6" x14ac:dyDescent="0.25">
      <c r="B59" s="30" t="s">
        <v>31</v>
      </c>
      <c r="C59" s="30"/>
      <c r="D59" s="30"/>
      <c r="E59" s="30"/>
      <c r="F59" s="7">
        <f>F14+F23+F32+F36+F46+F53+F57</f>
        <v>70001894.661851853</v>
      </c>
    </row>
  </sheetData>
  <mergeCells count="30">
    <mergeCell ref="B38:I38"/>
    <mergeCell ref="B39:D39"/>
    <mergeCell ref="H39:I39"/>
    <mergeCell ref="B40:D40"/>
    <mergeCell ref="B5:F5"/>
    <mergeCell ref="B14:E14"/>
    <mergeCell ref="B23:E23"/>
    <mergeCell ref="B32:E32"/>
    <mergeCell ref="B36:E36"/>
    <mergeCell ref="G7:H14"/>
    <mergeCell ref="G16:H23"/>
    <mergeCell ref="B41:D41"/>
    <mergeCell ref="B42:D42"/>
    <mergeCell ref="E42:I42"/>
    <mergeCell ref="B43:D43"/>
    <mergeCell ref="E43:I43"/>
    <mergeCell ref="B44:D44"/>
    <mergeCell ref="E44:I44"/>
    <mergeCell ref="B45:D45"/>
    <mergeCell ref="F45:I45"/>
    <mergeCell ref="B59:E59"/>
    <mergeCell ref="B46:D46"/>
    <mergeCell ref="F46:I46"/>
    <mergeCell ref="B48:F48"/>
    <mergeCell ref="B53:E53"/>
    <mergeCell ref="B55:F55"/>
    <mergeCell ref="B56:C56"/>
    <mergeCell ref="D56:E56"/>
    <mergeCell ref="B57:C57"/>
    <mergeCell ref="D57:E5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Carolina</cp:lastModifiedBy>
  <cp:revision/>
  <dcterms:created xsi:type="dcterms:W3CDTF">2023-05-23T18:21:31Z</dcterms:created>
  <dcterms:modified xsi:type="dcterms:W3CDTF">2023-11-01T20:08:26Z</dcterms:modified>
  <cp:category/>
  <cp:contentStatus/>
</cp:coreProperties>
</file>