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nesquivel_gha_com_co/Documents/GHA ABOGADOS/2. CONTESTACION DEMANDAS/SOLIDARIDAD/ELIZABETH MONTENEGRO GOMEZ/"/>
    </mc:Choice>
  </mc:AlternateContent>
  <xr:revisionPtr revIDLastSave="529" documentId="13_ncr:1_{FBD5F093-BC9F-410F-A439-566C8E1DFD8F}" xr6:coauthVersionLast="47" xr6:coauthVersionMax="47" xr10:uidLastSave="{1E530865-B151-42E9-BB59-114D91D1ABD4}"/>
  <bookViews>
    <workbookView xWindow="-120" yWindow="-120" windowWidth="20730" windowHeight="11040" xr2:uid="{69AAD36E-CAFA-43EB-832F-400E58192986}"/>
  </bookViews>
  <sheets>
    <sheet name="LIQ. PRETENSIONES DEMANDA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2" l="1"/>
  <c r="E72" i="12"/>
  <c r="F72" i="12" s="1"/>
  <c r="F73" i="12" s="1"/>
  <c r="E68" i="12"/>
  <c r="E64" i="12"/>
  <c r="F64" i="12" s="1"/>
  <c r="D68" i="12" s="1"/>
  <c r="F68" i="12" s="1"/>
  <c r="F69" i="12" s="1"/>
  <c r="E60" i="12"/>
  <c r="F60" i="12" s="1"/>
  <c r="F61" i="12" s="1"/>
  <c r="B87" i="12"/>
  <c r="F87" i="12" s="1"/>
  <c r="E81" i="12"/>
  <c r="E80" i="12"/>
  <c r="H78" i="12"/>
  <c r="I78" i="12" s="1"/>
  <c r="E82" i="12" s="1"/>
  <c r="F65" i="12" l="1"/>
  <c r="F82" i="12"/>
  <c r="F83" i="12" s="1"/>
  <c r="F89" i="12" l="1"/>
  <c r="E52" i="12"/>
  <c r="F52" i="12" s="1"/>
  <c r="F53" i="12" s="1"/>
  <c r="B49" i="12"/>
  <c r="F49" i="12" s="1"/>
  <c r="E44" i="12"/>
  <c r="F44" i="12" s="1"/>
  <c r="E35" i="12"/>
  <c r="E26" i="12"/>
  <c r="F26" i="12" s="1"/>
  <c r="D35" i="12" s="1"/>
  <c r="E17" i="12"/>
  <c r="F17" i="12" s="1"/>
  <c r="E8" i="12"/>
  <c r="F8" i="12" s="1"/>
  <c r="E39" i="12"/>
  <c r="E38" i="12"/>
  <c r="E37" i="12"/>
  <c r="E36" i="12"/>
  <c r="E30" i="12"/>
  <c r="F30" i="12" s="1"/>
  <c r="D39" i="12" s="1"/>
  <c r="E29" i="12"/>
  <c r="F29" i="12" s="1"/>
  <c r="D38" i="12" s="1"/>
  <c r="E28" i="12"/>
  <c r="F28" i="12" s="1"/>
  <c r="D37" i="12" s="1"/>
  <c r="E27" i="12"/>
  <c r="F27" i="12" s="1"/>
  <c r="D36" i="12" s="1"/>
  <c r="E22" i="12"/>
  <c r="E21" i="12"/>
  <c r="F21" i="12" s="1"/>
  <c r="E20" i="12"/>
  <c r="F20" i="12" s="1"/>
  <c r="E19" i="12"/>
  <c r="F19" i="12" s="1"/>
  <c r="E18" i="12"/>
  <c r="F18" i="12" s="1"/>
  <c r="E13" i="12"/>
  <c r="F13" i="12" s="1"/>
  <c r="E12" i="12"/>
  <c r="F12" i="12" s="1"/>
  <c r="E11" i="12"/>
  <c r="F11" i="12" s="1"/>
  <c r="E10" i="12"/>
  <c r="F10" i="12" s="1"/>
  <c r="F35" i="12" l="1"/>
  <c r="F37" i="12"/>
  <c r="F36" i="12"/>
  <c r="F38" i="12"/>
  <c r="F39" i="12"/>
  <c r="E9" i="12"/>
  <c r="F9" i="12" s="1"/>
  <c r="F45" i="12"/>
  <c r="E40" i="12"/>
  <c r="E31" i="12"/>
  <c r="F31" i="12" s="1"/>
  <c r="F32" i="12" s="1"/>
  <c r="F22" i="12"/>
  <c r="F23" i="12" s="1"/>
  <c r="F14" i="12" l="1"/>
  <c r="D40" i="12"/>
  <c r="F40" i="12" s="1"/>
  <c r="F41" i="12" l="1"/>
</calcChain>
</file>

<file path=xl/sharedStrings.xml><?xml version="1.0" encoding="utf-8"?>
<sst xmlns="http://schemas.openxmlformats.org/spreadsheetml/2006/main" count="88" uniqueCount="36">
  <si>
    <t>LIQUIDACIÓN DE LAS PRETENSIONES DE LA DEMANDA</t>
  </si>
  <si>
    <t>DESDE</t>
  </si>
  <si>
    <t>HASTA</t>
  </si>
  <si>
    <t>SALARIO</t>
  </si>
  <si>
    <t>DÍAS</t>
  </si>
  <si>
    <t>SALARIOS</t>
  </si>
  <si>
    <t xml:space="preserve">*Nota: En la liquidación de cesantías y prima se tiene en cuenta el auxilio de transporte en atención a que la demandante devengaba un SMMLV, conforme al escrito de demanda. </t>
  </si>
  <si>
    <t>*Nota: Se liquidan las prestaciones sociales sobre el salario indicado en la demanda, es decir, se liquida sobre el SMLMV que devengaba la demandante.</t>
  </si>
  <si>
    <t>TOTAL ADEUDADO</t>
  </si>
  <si>
    <t>PRIMAS</t>
  </si>
  <si>
    <t>CESANTÍAS</t>
  </si>
  <si>
    <t>INTERESES</t>
  </si>
  <si>
    <t>VACACIONES</t>
  </si>
  <si>
    <t>INDEMNIZACIÓN DEL ARTÍCULO 26 DE LA LEY 361 DE 1997. (180 DÍAS DE SALARIO)</t>
  </si>
  <si>
    <t>Salario diario</t>
  </si>
  <si>
    <t>x 180 DÍAS</t>
  </si>
  <si>
    <t>Total</t>
  </si>
  <si>
    <t>10 DÍAS SALARIOS</t>
  </si>
  <si>
    <t>Total Liquidación:</t>
  </si>
  <si>
    <t>SUBSIDIARIAS</t>
  </si>
  <si>
    <t>INDEMNIZACIÓN ARTÍCULO 64 DEL C.S.T.</t>
  </si>
  <si>
    <t>AÑO</t>
  </si>
  <si>
    <t>MES</t>
  </si>
  <si>
    <t>DÍA</t>
  </si>
  <si>
    <t>Tiempo Laborado en:</t>
  </si>
  <si>
    <t>Fecha de Liquidación: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</si>
  <si>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</si>
  <si>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</si>
  <si>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</si>
  <si>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</si>
  <si>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</si>
  <si>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</si>
  <si>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</si>
  <si>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</si>
  <si>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INDEMNIZACIÓN DEL ARTÍCULO 65 DEL C.S.T.</t>
  </si>
  <si>
    <t>x 720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</si>
</sst>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  <numFmt numFmtId="169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3" fillId="3" borderId="1" xfId="1" applyNumberFormat="1" applyFont="1" applyFill="1" applyBorder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4" fontId="6" fillId="4" borderId="1" xfId="0" applyNumberFormat="1" applyFont="1" applyFill="1" applyBorder="1"/>
    <xf numFmtId="165" fontId="3" fillId="3" borderId="1" xfId="0" applyNumberFormat="1" applyFont="1" applyFill="1" applyBorder="1"/>
    <xf numFmtId="165" fontId="4" fillId="0" borderId="0" xfId="0" applyNumberFormat="1" applyFont="1"/>
    <xf numFmtId="164" fontId="4" fillId="0" borderId="1" xfId="0" applyNumberFormat="1" applyFont="1" applyBorder="1" applyAlignment="1">
      <alignment horizontal="center"/>
    </xf>
    <xf numFmtId="164" fontId="3" fillId="2" borderId="1" xfId="7" applyNumberFormat="1" applyFont="1" applyFill="1" applyBorder="1" applyAlignment="1">
      <alignment horizontal="center"/>
    </xf>
    <xf numFmtId="14" fontId="4" fillId="0" borderId="1" xfId="0" applyNumberFormat="1" applyFont="1" applyBorder="1"/>
    <xf numFmtId="164" fontId="4" fillId="0" borderId="1" xfId="7" applyNumberFormat="1" applyFont="1" applyBorder="1"/>
    <xf numFmtId="164" fontId="3" fillId="3" borderId="1" xfId="7" applyNumberFormat="1" applyFont="1" applyFill="1" applyBorder="1"/>
    <xf numFmtId="165" fontId="4" fillId="0" borderId="0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0" fillId="0" borderId="0" xfId="0" applyNumberFormat="1"/>
    <xf numFmtId="0" fontId="9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9" fontId="9" fillId="2" borderId="1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9" fillId="0" borderId="1" xfId="0" applyFont="1" applyBorder="1"/>
    <xf numFmtId="14" fontId="4" fillId="0" borderId="0" xfId="0" applyNumberFormat="1" applyFont="1"/>
    <xf numFmtId="164" fontId="4" fillId="0" borderId="0" xfId="7" applyNumberFormat="1" applyFont="1" applyBorder="1"/>
    <xf numFmtId="164" fontId="4" fillId="0" borderId="0" xfId="1" applyNumberFormat="1" applyFont="1" applyBorder="1"/>
    <xf numFmtId="164" fontId="4" fillId="0" borderId="0" xfId="1" applyNumberFormat="1" applyFont="1" applyFill="1" applyBorder="1"/>
    <xf numFmtId="8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8" fontId="9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5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4" fillId="0" borderId="2" xfId="2" applyNumberFormat="1" applyFont="1" applyBorder="1" applyAlignment="1">
      <alignment horizontal="center"/>
    </xf>
    <xf numFmtId="165" fontId="4" fillId="0" borderId="5" xfId="2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8" fontId="8" fillId="0" borderId="1" xfId="0" applyNumberFormat="1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17">
    <cellStyle name="Millares" xfId="1" builtinId="3"/>
    <cellStyle name="Millares [0] 2" xfId="4" xr:uid="{3555D9B7-EA0C-4C21-A235-0CD6BE1EC253}"/>
    <cellStyle name="Millares 2" xfId="9" xr:uid="{52E748A6-508A-43EC-9983-10807D820023}"/>
    <cellStyle name="Millares 3" xfId="11" xr:uid="{489BD241-C3FF-4DFE-89AE-EA3930EC2C75}"/>
    <cellStyle name="Millares 4" xfId="7" xr:uid="{30B7C3BA-0FB0-470D-88BE-FBEF74427B88}"/>
    <cellStyle name="Millares 5" xfId="13" xr:uid="{79326964-5294-479E-B982-0A5948E6458E}"/>
    <cellStyle name="Millares 6" xfId="16" xr:uid="{ABFDC7D0-759F-45EB-9979-8CD3F87889E5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0" xr:uid="{B553DF60-E9E3-43DE-950B-5D5A0815FFF2}"/>
    <cellStyle name="Moneda 4" xfId="12" xr:uid="{91876A93-028D-40C8-982D-CCA51D4D575D}"/>
    <cellStyle name="Moneda 5" xfId="8" xr:uid="{A7350134-E2AE-4379-A4D5-B823FC54C5D3}"/>
    <cellStyle name="Moneda 6" xfId="14" xr:uid="{BF3C704B-FB29-4786-98E8-8A8CE20070B2}"/>
    <cellStyle name="Moneda 7" xfId="15" xr:uid="{B8E0172D-6407-491A-BE97-75C736043314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1456611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B5:K89"/>
  <sheetViews>
    <sheetView tabSelected="1" topLeftCell="A22" zoomScaleNormal="100" workbookViewId="0">
      <selection activeCell="H32" sqref="H32"/>
    </sheetView>
  </sheetViews>
  <sheetFormatPr baseColWidth="10" defaultColWidth="11.42578125" defaultRowHeight="15" x14ac:dyDescent="0.25"/>
  <cols>
    <col min="2" max="2" width="16.42578125" style="6" customWidth="1"/>
    <col min="3" max="4" width="11.42578125" style="6"/>
    <col min="5" max="5" width="22.7109375" style="6" bestFit="1" customWidth="1"/>
    <col min="6" max="6" width="18.85546875" style="6" customWidth="1"/>
    <col min="7" max="7" width="11.42578125" style="6"/>
    <col min="8" max="8" width="12.28515625" bestFit="1" customWidth="1"/>
    <col min="10" max="10" width="13.140625" bestFit="1" customWidth="1"/>
    <col min="11" max="11" width="15.28515625" bestFit="1" customWidth="1"/>
    <col min="12" max="12" width="22.7109375" bestFit="1" customWidth="1"/>
  </cols>
  <sheetData>
    <row r="5" spans="2:11" s="6" customFormat="1" ht="15" customHeight="1" x14ac:dyDescent="0.2">
      <c r="B5" s="61" t="s">
        <v>0</v>
      </c>
      <c r="C5" s="61"/>
      <c r="D5" s="61"/>
      <c r="E5" s="61"/>
      <c r="F5" s="61"/>
    </row>
    <row r="7" spans="2:11" x14ac:dyDescent="0.25">
      <c r="B7" s="1" t="s">
        <v>1</v>
      </c>
      <c r="C7" s="1" t="s">
        <v>2</v>
      </c>
      <c r="D7" s="1" t="s">
        <v>3</v>
      </c>
      <c r="E7" s="1" t="s">
        <v>4</v>
      </c>
      <c r="F7" s="12" t="s">
        <v>5</v>
      </c>
      <c r="H7" s="45" t="s">
        <v>6</v>
      </c>
      <c r="I7" s="45"/>
      <c r="J7" s="45"/>
      <c r="K7" s="45"/>
    </row>
    <row r="8" spans="2:11" x14ac:dyDescent="0.25">
      <c r="B8" s="13">
        <v>43331</v>
      </c>
      <c r="C8" s="13">
        <v>43465</v>
      </c>
      <c r="D8" s="14">
        <v>781242</v>
      </c>
      <c r="E8" s="3">
        <f>DAYS360(B8,C8)+1</f>
        <v>133</v>
      </c>
      <c r="F8" s="4">
        <f>(D8/30)*E8</f>
        <v>3463506.2</v>
      </c>
      <c r="H8" s="45"/>
      <c r="I8" s="45"/>
      <c r="J8" s="45"/>
      <c r="K8" s="45"/>
    </row>
    <row r="9" spans="2:11" x14ac:dyDescent="0.25">
      <c r="B9" s="13">
        <v>43466</v>
      </c>
      <c r="C9" s="13">
        <v>43830</v>
      </c>
      <c r="D9" s="14">
        <v>828116</v>
      </c>
      <c r="E9" s="3">
        <f>DAYS360(B9,C9)+1</f>
        <v>361</v>
      </c>
      <c r="F9" s="4">
        <f>(D9/30)*E9</f>
        <v>9964995.8666666653</v>
      </c>
      <c r="H9" s="45"/>
      <c r="I9" s="45"/>
      <c r="J9" s="45"/>
      <c r="K9" s="45"/>
    </row>
    <row r="10" spans="2:11" x14ac:dyDescent="0.25">
      <c r="B10" s="13">
        <v>43831</v>
      </c>
      <c r="C10" s="13">
        <v>44196</v>
      </c>
      <c r="D10" s="14">
        <v>877803</v>
      </c>
      <c r="E10" s="3">
        <f t="shared" ref="E10:E13" si="0">DAYS360(B10,C10)+1</f>
        <v>361</v>
      </c>
      <c r="F10" s="4">
        <f t="shared" ref="F10:F13" si="1">(D10/30)*E10</f>
        <v>10562896.1</v>
      </c>
      <c r="H10" s="45"/>
      <c r="I10" s="45"/>
      <c r="J10" s="45"/>
      <c r="K10" s="45"/>
    </row>
    <row r="11" spans="2:11" x14ac:dyDescent="0.25">
      <c r="B11" s="13">
        <v>44197</v>
      </c>
      <c r="C11" s="13">
        <v>44561</v>
      </c>
      <c r="D11" s="14">
        <v>908526</v>
      </c>
      <c r="E11" s="3">
        <f t="shared" si="0"/>
        <v>361</v>
      </c>
      <c r="F11" s="4">
        <f t="shared" si="1"/>
        <v>10932596.200000001</v>
      </c>
    </row>
    <row r="12" spans="2:11" x14ac:dyDescent="0.25">
      <c r="B12" s="13">
        <v>44562</v>
      </c>
      <c r="C12" s="13">
        <v>44926</v>
      </c>
      <c r="D12" s="14">
        <v>1000000</v>
      </c>
      <c r="E12" s="3">
        <f t="shared" si="0"/>
        <v>361</v>
      </c>
      <c r="F12" s="4">
        <f t="shared" si="1"/>
        <v>12033333.333333334</v>
      </c>
      <c r="H12" s="45" t="s">
        <v>7</v>
      </c>
      <c r="I12" s="45"/>
      <c r="J12" s="45"/>
      <c r="K12" s="45"/>
    </row>
    <row r="13" spans="2:11" x14ac:dyDescent="0.25">
      <c r="B13" s="13">
        <v>44927</v>
      </c>
      <c r="C13" s="13">
        <v>45214</v>
      </c>
      <c r="D13" s="14">
        <v>1160000</v>
      </c>
      <c r="E13" s="3">
        <f t="shared" si="0"/>
        <v>285</v>
      </c>
      <c r="F13" s="4">
        <f t="shared" si="1"/>
        <v>11020000</v>
      </c>
      <c r="H13" s="45"/>
      <c r="I13" s="45"/>
      <c r="J13" s="45"/>
      <c r="K13" s="45"/>
    </row>
    <row r="14" spans="2:11" x14ac:dyDescent="0.25">
      <c r="B14" s="43" t="s">
        <v>8</v>
      </c>
      <c r="C14" s="43"/>
      <c r="D14" s="43"/>
      <c r="E14" s="43"/>
      <c r="F14" s="15">
        <f>SUM(F8:F13)</f>
        <v>57977327.700000003</v>
      </c>
      <c r="H14" s="45"/>
      <c r="I14" s="45"/>
      <c r="J14" s="45"/>
      <c r="K14" s="45"/>
    </row>
    <row r="15" spans="2:11" x14ac:dyDescent="0.25">
      <c r="H15" s="45"/>
      <c r="I15" s="45"/>
      <c r="J15" s="45"/>
      <c r="K15" s="45"/>
    </row>
    <row r="16" spans="2:11" s="6" customFormat="1" x14ac:dyDescent="0.25">
      <c r="B16" s="1" t="s">
        <v>1</v>
      </c>
      <c r="C16" s="1" t="s">
        <v>2</v>
      </c>
      <c r="D16" s="1" t="s">
        <v>3</v>
      </c>
      <c r="E16" s="1" t="s">
        <v>4</v>
      </c>
      <c r="F16" s="2" t="s">
        <v>9</v>
      </c>
      <c r="H16"/>
      <c r="I16"/>
    </row>
    <row r="17" spans="2:9" s="6" customFormat="1" x14ac:dyDescent="0.25">
      <c r="B17" s="13">
        <v>43331</v>
      </c>
      <c r="C17" s="13">
        <v>43465</v>
      </c>
      <c r="D17" s="14">
        <v>869453</v>
      </c>
      <c r="E17" s="3">
        <f>DAYS360(B17,C17)+1</f>
        <v>133</v>
      </c>
      <c r="F17" s="4">
        <f t="shared" ref="F17:F21" si="2">(D17*E17)/360</f>
        <v>321214.58055555553</v>
      </c>
      <c r="H17"/>
      <c r="I17"/>
    </row>
    <row r="18" spans="2:9" s="6" customFormat="1" x14ac:dyDescent="0.25">
      <c r="B18" s="13">
        <v>43466</v>
      </c>
      <c r="C18" s="13">
        <v>43830</v>
      </c>
      <c r="D18" s="14">
        <v>925148</v>
      </c>
      <c r="E18" s="3">
        <f>DAYS360(B18,C18)+1</f>
        <v>361</v>
      </c>
      <c r="F18" s="4">
        <f t="shared" si="2"/>
        <v>927717.85555555555</v>
      </c>
      <c r="H18"/>
      <c r="I18"/>
    </row>
    <row r="19" spans="2:9" s="6" customFormat="1" x14ac:dyDescent="0.25">
      <c r="B19" s="13">
        <v>43831</v>
      </c>
      <c r="C19" s="13">
        <v>44196</v>
      </c>
      <c r="D19" s="14">
        <v>980657</v>
      </c>
      <c r="E19" s="3">
        <f t="shared" ref="E19:E22" si="3">DAYS360(B19,C19)+1</f>
        <v>361</v>
      </c>
      <c r="F19" s="4">
        <f t="shared" si="2"/>
        <v>983381.0472222222</v>
      </c>
      <c r="H19"/>
      <c r="I19"/>
    </row>
    <row r="20" spans="2:9" s="6" customFormat="1" x14ac:dyDescent="0.25">
      <c r="B20" s="13">
        <v>44197</v>
      </c>
      <c r="C20" s="13">
        <v>44561</v>
      </c>
      <c r="D20" s="14">
        <v>1014980</v>
      </c>
      <c r="E20" s="3">
        <f t="shared" si="3"/>
        <v>361</v>
      </c>
      <c r="F20" s="4">
        <f t="shared" si="2"/>
        <v>1017799.3888888889</v>
      </c>
      <c r="H20"/>
      <c r="I20"/>
    </row>
    <row r="21" spans="2:9" s="6" customFormat="1" x14ac:dyDescent="0.25">
      <c r="B21" s="13">
        <v>44562</v>
      </c>
      <c r="C21" s="13">
        <v>44926</v>
      </c>
      <c r="D21" s="14">
        <v>1117172</v>
      </c>
      <c r="E21" s="3">
        <f t="shared" si="3"/>
        <v>361</v>
      </c>
      <c r="F21" s="4">
        <f t="shared" si="2"/>
        <v>1120275.2555555555</v>
      </c>
      <c r="H21"/>
      <c r="I21"/>
    </row>
    <row r="22" spans="2:9" s="6" customFormat="1" x14ac:dyDescent="0.25">
      <c r="B22" s="13">
        <v>44927</v>
      </c>
      <c r="C22" s="13">
        <v>45214</v>
      </c>
      <c r="D22" s="14">
        <v>1300606</v>
      </c>
      <c r="E22" s="3">
        <f t="shared" si="3"/>
        <v>285</v>
      </c>
      <c r="F22" s="4">
        <f>(D22*E22)/360</f>
        <v>1029646.4166666666</v>
      </c>
      <c r="H22"/>
      <c r="I22"/>
    </row>
    <row r="23" spans="2:9" s="6" customFormat="1" x14ac:dyDescent="0.25">
      <c r="B23" s="43" t="s">
        <v>8</v>
      </c>
      <c r="C23" s="43"/>
      <c r="D23" s="43"/>
      <c r="E23" s="43"/>
      <c r="F23" s="5">
        <f>SUM(F17:F22)</f>
        <v>5400034.5444444446</v>
      </c>
      <c r="H23"/>
      <c r="I23"/>
    </row>
    <row r="25" spans="2:9" s="6" customFormat="1" x14ac:dyDescent="0.25">
      <c r="B25" s="1" t="s">
        <v>1</v>
      </c>
      <c r="C25" s="1" t="s">
        <v>2</v>
      </c>
      <c r="D25" s="1" t="s">
        <v>3</v>
      </c>
      <c r="E25" s="1" t="s">
        <v>4</v>
      </c>
      <c r="F25" s="2" t="s">
        <v>10</v>
      </c>
      <c r="H25"/>
      <c r="I25"/>
    </row>
    <row r="26" spans="2:9" s="6" customFormat="1" x14ac:dyDescent="0.25">
      <c r="B26" s="13">
        <v>43331</v>
      </c>
      <c r="C26" s="13">
        <v>43465</v>
      </c>
      <c r="D26" s="14">
        <v>869453</v>
      </c>
      <c r="E26" s="3">
        <f t="shared" ref="E26:E30" si="4">DAYS360(B26,C26)+1</f>
        <v>133</v>
      </c>
      <c r="F26" s="4">
        <f t="shared" ref="F26:F30" si="5">(D26*E26)/360</f>
        <v>321214.58055555553</v>
      </c>
      <c r="H26"/>
      <c r="I26"/>
    </row>
    <row r="27" spans="2:9" s="6" customFormat="1" x14ac:dyDescent="0.25">
      <c r="B27" s="13">
        <v>43466</v>
      </c>
      <c r="C27" s="13">
        <v>43830</v>
      </c>
      <c r="D27" s="14">
        <v>925148</v>
      </c>
      <c r="E27" s="3">
        <f t="shared" si="4"/>
        <v>361</v>
      </c>
      <c r="F27" s="4">
        <f t="shared" si="5"/>
        <v>927717.85555555555</v>
      </c>
      <c r="H27"/>
      <c r="I27"/>
    </row>
    <row r="28" spans="2:9" s="6" customFormat="1" x14ac:dyDescent="0.25">
      <c r="B28" s="13">
        <v>43831</v>
      </c>
      <c r="C28" s="13">
        <v>44196</v>
      </c>
      <c r="D28" s="14">
        <v>980657</v>
      </c>
      <c r="E28" s="3">
        <f t="shared" si="4"/>
        <v>361</v>
      </c>
      <c r="F28" s="4">
        <f t="shared" si="5"/>
        <v>983381.0472222222</v>
      </c>
      <c r="H28"/>
      <c r="I28"/>
    </row>
    <row r="29" spans="2:9" s="6" customFormat="1" x14ac:dyDescent="0.25">
      <c r="B29" s="13">
        <v>44197</v>
      </c>
      <c r="C29" s="13">
        <v>44561</v>
      </c>
      <c r="D29" s="14">
        <v>1014980</v>
      </c>
      <c r="E29" s="3">
        <f t="shared" si="4"/>
        <v>361</v>
      </c>
      <c r="F29" s="4">
        <f t="shared" si="5"/>
        <v>1017799.3888888889</v>
      </c>
      <c r="H29"/>
      <c r="I29"/>
    </row>
    <row r="30" spans="2:9" s="6" customFormat="1" x14ac:dyDescent="0.25">
      <c r="B30" s="13">
        <v>44562</v>
      </c>
      <c r="C30" s="13">
        <v>44926</v>
      </c>
      <c r="D30" s="14">
        <v>1117172</v>
      </c>
      <c r="E30" s="3">
        <f t="shared" si="4"/>
        <v>361</v>
      </c>
      <c r="F30" s="4">
        <f t="shared" si="5"/>
        <v>1120275.2555555555</v>
      </c>
      <c r="H30"/>
      <c r="I30"/>
    </row>
    <row r="31" spans="2:9" s="6" customFormat="1" x14ac:dyDescent="0.25">
      <c r="B31" s="13">
        <v>44927</v>
      </c>
      <c r="C31" s="13">
        <v>45214</v>
      </c>
      <c r="D31" s="14">
        <v>1300606</v>
      </c>
      <c r="E31" s="3">
        <f>DAYS360(B31,C31)+1</f>
        <v>285</v>
      </c>
      <c r="F31" s="4">
        <f>(D31*E31)/360</f>
        <v>1029646.4166666666</v>
      </c>
      <c r="H31"/>
      <c r="I31"/>
    </row>
    <row r="32" spans="2:9" s="6" customFormat="1" x14ac:dyDescent="0.25">
      <c r="B32" s="43" t="s">
        <v>8</v>
      </c>
      <c r="C32" s="43"/>
      <c r="D32" s="43"/>
      <c r="E32" s="43"/>
      <c r="F32" s="5">
        <f>SUM(F26:F31)</f>
        <v>5400034.5444444446</v>
      </c>
      <c r="H32"/>
      <c r="I32"/>
    </row>
    <row r="34" spans="2:9" s="6" customFormat="1" x14ac:dyDescent="0.25">
      <c r="B34" s="1" t="s">
        <v>1</v>
      </c>
      <c r="C34" s="1" t="s">
        <v>2</v>
      </c>
      <c r="D34" s="1" t="s">
        <v>10</v>
      </c>
      <c r="E34" s="1" t="s">
        <v>4</v>
      </c>
      <c r="F34" s="2" t="s">
        <v>11</v>
      </c>
      <c r="H34"/>
      <c r="I34"/>
    </row>
    <row r="35" spans="2:9" s="6" customFormat="1" x14ac:dyDescent="0.25">
      <c r="B35" s="13">
        <v>43331</v>
      </c>
      <c r="C35" s="13">
        <v>43465</v>
      </c>
      <c r="D35" s="11">
        <f t="shared" ref="D35:D40" si="6">F26</f>
        <v>321214.58055555553</v>
      </c>
      <c r="E35" s="3">
        <f t="shared" ref="E35:E39" si="7">DAYS360(B35,C35)+1</f>
        <v>133</v>
      </c>
      <c r="F35" s="3">
        <f t="shared" ref="F35:F39" si="8">(D35*E35*0.12)/360</f>
        <v>14240.513071296295</v>
      </c>
      <c r="H35"/>
      <c r="I35"/>
    </row>
    <row r="36" spans="2:9" s="6" customFormat="1" x14ac:dyDescent="0.25">
      <c r="B36" s="13">
        <v>43466</v>
      </c>
      <c r="C36" s="13">
        <v>43830</v>
      </c>
      <c r="D36" s="11">
        <f t="shared" si="6"/>
        <v>927717.85555555555</v>
      </c>
      <c r="E36" s="3">
        <f t="shared" si="7"/>
        <v>361</v>
      </c>
      <c r="F36" s="3">
        <f t="shared" si="8"/>
        <v>111635.38195185183</v>
      </c>
      <c r="H36"/>
      <c r="I36"/>
    </row>
    <row r="37" spans="2:9" s="6" customFormat="1" x14ac:dyDescent="0.25">
      <c r="B37" s="13">
        <v>43831</v>
      </c>
      <c r="C37" s="13">
        <v>44196</v>
      </c>
      <c r="D37" s="11">
        <f t="shared" si="6"/>
        <v>983381.0472222222</v>
      </c>
      <c r="E37" s="3">
        <f t="shared" si="7"/>
        <v>361</v>
      </c>
      <c r="F37" s="3">
        <f t="shared" si="8"/>
        <v>118333.51934907405</v>
      </c>
      <c r="H37"/>
      <c r="I37"/>
    </row>
    <row r="38" spans="2:9" s="6" customFormat="1" x14ac:dyDescent="0.25">
      <c r="B38" s="13">
        <v>44197</v>
      </c>
      <c r="C38" s="13">
        <v>44561</v>
      </c>
      <c r="D38" s="11">
        <f t="shared" si="6"/>
        <v>1017799.3888888889</v>
      </c>
      <c r="E38" s="3">
        <f t="shared" si="7"/>
        <v>361</v>
      </c>
      <c r="F38" s="3">
        <f t="shared" si="8"/>
        <v>122475.19312962962</v>
      </c>
      <c r="H38"/>
      <c r="I38"/>
    </row>
    <row r="39" spans="2:9" s="6" customFormat="1" x14ac:dyDescent="0.25">
      <c r="B39" s="13">
        <v>44562</v>
      </c>
      <c r="C39" s="13">
        <v>44926</v>
      </c>
      <c r="D39" s="11">
        <f t="shared" si="6"/>
        <v>1120275.2555555555</v>
      </c>
      <c r="E39" s="3">
        <f t="shared" si="7"/>
        <v>361</v>
      </c>
      <c r="F39" s="3">
        <f t="shared" si="8"/>
        <v>134806.45575185181</v>
      </c>
      <c r="H39"/>
      <c r="I39"/>
    </row>
    <row r="40" spans="2:9" s="6" customFormat="1" x14ac:dyDescent="0.25">
      <c r="B40" s="13">
        <v>44927</v>
      </c>
      <c r="C40" s="13">
        <v>45214</v>
      </c>
      <c r="D40" s="3">
        <f t="shared" si="6"/>
        <v>1029646.4166666666</v>
      </c>
      <c r="E40" s="3">
        <f>DAYS360(B40,C40)+1</f>
        <v>285</v>
      </c>
      <c r="F40" s="3">
        <f>(D40*E40*0.12)/360</f>
        <v>97816.409583333327</v>
      </c>
      <c r="H40"/>
      <c r="I40"/>
    </row>
    <row r="41" spans="2:9" x14ac:dyDescent="0.25">
      <c r="B41" s="43" t="s">
        <v>8</v>
      </c>
      <c r="C41" s="43"/>
      <c r="D41" s="43"/>
      <c r="E41" s="43"/>
      <c r="F41" s="5">
        <f>SUM(F35:F40)</f>
        <v>599307.47283703694</v>
      </c>
    </row>
    <row r="43" spans="2:9" x14ac:dyDescent="0.25">
      <c r="B43" s="1" t="s">
        <v>1</v>
      </c>
      <c r="C43" s="1" t="s">
        <v>2</v>
      </c>
      <c r="D43" s="1" t="s">
        <v>3</v>
      </c>
      <c r="E43" s="1" t="s">
        <v>4</v>
      </c>
      <c r="F43" s="2" t="s">
        <v>12</v>
      </c>
    </row>
    <row r="44" spans="2:9" x14ac:dyDescent="0.25">
      <c r="B44" s="13">
        <v>43331</v>
      </c>
      <c r="C44" s="13">
        <v>45214</v>
      </c>
      <c r="D44" s="14">
        <v>1160000</v>
      </c>
      <c r="E44" s="3">
        <f t="shared" ref="E44" si="9">DAYS360(B44,C44)+1</f>
        <v>1857</v>
      </c>
      <c r="F44" s="3">
        <f t="shared" ref="F44" si="10">(D44*E44)/720</f>
        <v>2991833.3333333335</v>
      </c>
    </row>
    <row r="45" spans="2:9" x14ac:dyDescent="0.25">
      <c r="B45" s="43" t="s">
        <v>8</v>
      </c>
      <c r="C45" s="43"/>
      <c r="D45" s="43"/>
      <c r="E45" s="43"/>
      <c r="F45" s="5">
        <f>SUM(F44:F44)</f>
        <v>2991833.3333333335</v>
      </c>
    </row>
    <row r="47" spans="2:9" x14ac:dyDescent="0.25">
      <c r="B47" s="46" t="s">
        <v>13</v>
      </c>
      <c r="C47" s="47"/>
      <c r="D47" s="47"/>
      <c r="E47" s="47"/>
      <c r="F47" s="48"/>
    </row>
    <row r="48" spans="2:9" x14ac:dyDescent="0.25">
      <c r="B48" s="49" t="s">
        <v>14</v>
      </c>
      <c r="C48" s="50"/>
      <c r="D48" s="49" t="s">
        <v>15</v>
      </c>
      <c r="E48" s="50"/>
      <c r="F48" s="7" t="s">
        <v>16</v>
      </c>
      <c r="I48" s="19"/>
    </row>
    <row r="49" spans="2:9" x14ac:dyDescent="0.25">
      <c r="B49" s="51">
        <f>(781242/30)</f>
        <v>26041.4</v>
      </c>
      <c r="C49" s="52"/>
      <c r="D49" s="53">
        <v>180</v>
      </c>
      <c r="E49" s="54"/>
      <c r="F49" s="9">
        <f>B49*D49</f>
        <v>4687452</v>
      </c>
      <c r="G49" s="10"/>
      <c r="I49" s="19"/>
    </row>
    <row r="50" spans="2:9" x14ac:dyDescent="0.25">
      <c r="B50" s="16"/>
      <c r="C50" s="16"/>
      <c r="D50" s="17"/>
      <c r="E50" s="17"/>
      <c r="G50" s="10"/>
    </row>
    <row r="51" spans="2:9" x14ac:dyDescent="0.25">
      <c r="B51" s="1" t="s">
        <v>1</v>
      </c>
      <c r="C51" s="1" t="s">
        <v>2</v>
      </c>
      <c r="D51" s="1" t="s">
        <v>3</v>
      </c>
      <c r="E51" s="1" t="s">
        <v>4</v>
      </c>
      <c r="F51" s="12" t="s">
        <v>17</v>
      </c>
      <c r="G51" s="10"/>
    </row>
    <row r="52" spans="2:9" x14ac:dyDescent="0.25">
      <c r="B52" s="13">
        <v>43321</v>
      </c>
      <c r="C52" s="13">
        <v>43330</v>
      </c>
      <c r="D52" s="14">
        <v>869453</v>
      </c>
      <c r="E52" s="3">
        <f t="shared" ref="E52" si="11">DAYS360(B52,C52)+1</f>
        <v>10</v>
      </c>
      <c r="F52" s="4">
        <f t="shared" ref="F52" si="12">(D52/30)*E52</f>
        <v>289817.66666666669</v>
      </c>
      <c r="G52" s="10"/>
    </row>
    <row r="53" spans="2:9" x14ac:dyDescent="0.25">
      <c r="B53" s="43" t="s">
        <v>8</v>
      </c>
      <c r="C53" s="43"/>
      <c r="D53" s="43"/>
      <c r="E53" s="43"/>
      <c r="F53" s="15">
        <f>SUM(F52)</f>
        <v>289817.66666666669</v>
      </c>
      <c r="G53" s="10"/>
    </row>
    <row r="54" spans="2:9" x14ac:dyDescent="0.25">
      <c r="B54" s="18"/>
      <c r="C54" s="18"/>
      <c r="D54" s="18"/>
      <c r="E54" s="18"/>
      <c r="G54" s="10"/>
    </row>
    <row r="55" spans="2:9" x14ac:dyDescent="0.25">
      <c r="B55" s="42" t="s">
        <v>18</v>
      </c>
      <c r="C55" s="42"/>
      <c r="D55" s="42"/>
      <c r="E55" s="42"/>
      <c r="F55" s="8">
        <f>SUM(F14+F23+F32+F41+F45+F49+F53)</f>
        <v>77345807.261725917</v>
      </c>
      <c r="G55" s="10"/>
    </row>
    <row r="56" spans="2:9" x14ac:dyDescent="0.25">
      <c r="B56" s="18"/>
      <c r="C56" s="18"/>
      <c r="D56" s="18"/>
      <c r="E56" s="18"/>
      <c r="G56" s="10"/>
    </row>
    <row r="57" spans="2:9" x14ac:dyDescent="0.25">
      <c r="B57" s="55" t="s">
        <v>19</v>
      </c>
      <c r="C57" s="56"/>
      <c r="D57" s="56"/>
      <c r="E57" s="56"/>
      <c r="F57" s="57"/>
      <c r="G57" s="10"/>
    </row>
    <row r="58" spans="2:9" x14ac:dyDescent="0.25">
      <c r="B58" s="18"/>
      <c r="C58" s="18"/>
      <c r="D58" s="18"/>
      <c r="E58" s="18"/>
      <c r="G58" s="10"/>
    </row>
    <row r="59" spans="2:9" x14ac:dyDescent="0.25">
      <c r="B59" s="1" t="s">
        <v>1</v>
      </c>
      <c r="C59" s="1" t="s">
        <v>2</v>
      </c>
      <c r="D59" s="1" t="s">
        <v>3</v>
      </c>
      <c r="E59" s="1" t="s">
        <v>4</v>
      </c>
      <c r="F59" s="2" t="s">
        <v>9</v>
      </c>
      <c r="G59" s="10"/>
    </row>
    <row r="60" spans="2:9" x14ac:dyDescent="0.25">
      <c r="B60" s="13">
        <v>43101</v>
      </c>
      <c r="C60" s="13">
        <v>43330</v>
      </c>
      <c r="D60" s="14">
        <v>869453</v>
      </c>
      <c r="E60" s="3">
        <f>DAYS360(B60,C60)+1</f>
        <v>228</v>
      </c>
      <c r="F60" s="4">
        <f t="shared" ref="F60" si="13">(D60*E60)/360</f>
        <v>550653.56666666665</v>
      </c>
      <c r="G60" s="10"/>
    </row>
    <row r="61" spans="2:9" x14ac:dyDescent="0.25">
      <c r="B61" s="43" t="s">
        <v>8</v>
      </c>
      <c r="C61" s="43"/>
      <c r="D61" s="43"/>
      <c r="E61" s="43"/>
      <c r="F61" s="5">
        <f>SUM(F60)</f>
        <v>550653.56666666665</v>
      </c>
      <c r="G61" s="10"/>
    </row>
    <row r="62" spans="2:9" x14ac:dyDescent="0.25">
      <c r="B62" s="31"/>
      <c r="C62" s="31"/>
      <c r="D62" s="32"/>
      <c r="E62" s="33"/>
      <c r="F62" s="34"/>
      <c r="G62" s="10"/>
    </row>
    <row r="63" spans="2:9" x14ac:dyDescent="0.25">
      <c r="B63" s="1" t="s">
        <v>1</v>
      </c>
      <c r="C63" s="1" t="s">
        <v>2</v>
      </c>
      <c r="D63" s="1" t="s">
        <v>3</v>
      </c>
      <c r="E63" s="1" t="s">
        <v>4</v>
      </c>
      <c r="F63" s="2" t="s">
        <v>10</v>
      </c>
      <c r="G63" s="10"/>
    </row>
    <row r="64" spans="2:9" x14ac:dyDescent="0.25">
      <c r="B64" s="13">
        <v>43101</v>
      </c>
      <c r="C64" s="13">
        <v>43330</v>
      </c>
      <c r="D64" s="14">
        <v>869453</v>
      </c>
      <c r="E64" s="3">
        <f t="shared" ref="E64" si="14">DAYS360(B64,C64)+1</f>
        <v>228</v>
      </c>
      <c r="F64" s="4">
        <f t="shared" ref="F64" si="15">(D64*E64)/360</f>
        <v>550653.56666666665</v>
      </c>
      <c r="G64" s="10"/>
    </row>
    <row r="65" spans="2:9" x14ac:dyDescent="0.25">
      <c r="B65" s="43" t="s">
        <v>8</v>
      </c>
      <c r="C65" s="43"/>
      <c r="D65" s="43"/>
      <c r="E65" s="43"/>
      <c r="F65" s="5">
        <f>SUM(F64)</f>
        <v>550653.56666666665</v>
      </c>
      <c r="G65" s="10"/>
    </row>
    <row r="66" spans="2:9" x14ac:dyDescent="0.25">
      <c r="B66" s="31"/>
      <c r="C66" s="31"/>
      <c r="D66" s="32"/>
      <c r="E66" s="33"/>
      <c r="F66" s="34"/>
      <c r="G66" s="10"/>
    </row>
    <row r="67" spans="2:9" x14ac:dyDescent="0.25">
      <c r="B67" s="1" t="s">
        <v>1</v>
      </c>
      <c r="C67" s="1" t="s">
        <v>2</v>
      </c>
      <c r="D67" s="1" t="s">
        <v>10</v>
      </c>
      <c r="E67" s="1" t="s">
        <v>4</v>
      </c>
      <c r="F67" s="2" t="s">
        <v>11</v>
      </c>
      <c r="G67" s="10"/>
    </row>
    <row r="68" spans="2:9" x14ac:dyDescent="0.25">
      <c r="B68" s="13">
        <v>43101</v>
      </c>
      <c r="C68" s="13">
        <v>43330</v>
      </c>
      <c r="D68" s="11">
        <f>F64</f>
        <v>550653.56666666665</v>
      </c>
      <c r="E68" s="3">
        <f t="shared" ref="E68" si="16">DAYS360(B68,C68)+1</f>
        <v>228</v>
      </c>
      <c r="F68" s="3">
        <f t="shared" ref="F68" si="17">(D68*E68*0.12)/360</f>
        <v>41849.67106666667</v>
      </c>
      <c r="G68" s="10"/>
    </row>
    <row r="69" spans="2:9" x14ac:dyDescent="0.25">
      <c r="B69" s="43" t="s">
        <v>8</v>
      </c>
      <c r="C69" s="43"/>
      <c r="D69" s="43"/>
      <c r="E69" s="43"/>
      <c r="F69" s="5">
        <f>SUM(F68)</f>
        <v>41849.67106666667</v>
      </c>
      <c r="G69" s="10"/>
    </row>
    <row r="70" spans="2:9" x14ac:dyDescent="0.25">
      <c r="B70" s="31"/>
      <c r="C70" s="31"/>
      <c r="D70" s="32"/>
      <c r="E70" s="33"/>
      <c r="F70" s="34"/>
      <c r="G70" s="10"/>
    </row>
    <row r="71" spans="2:9" x14ac:dyDescent="0.25">
      <c r="B71" s="1" t="s">
        <v>1</v>
      </c>
      <c r="C71" s="1" t="s">
        <v>2</v>
      </c>
      <c r="D71" s="1" t="s">
        <v>3</v>
      </c>
      <c r="E71" s="1" t="s">
        <v>4</v>
      </c>
      <c r="F71" s="2" t="s">
        <v>12</v>
      </c>
      <c r="G71" s="10"/>
    </row>
    <row r="72" spans="2:9" x14ac:dyDescent="0.25">
      <c r="B72" s="13">
        <v>41653</v>
      </c>
      <c r="C72" s="13">
        <v>43330</v>
      </c>
      <c r="D72" s="14">
        <v>781242</v>
      </c>
      <c r="E72" s="3">
        <f t="shared" ref="E72" si="18">DAYS360(B72,C72)+1</f>
        <v>1655</v>
      </c>
      <c r="F72" s="3">
        <f t="shared" ref="F72" si="19">(D72*E72)/720</f>
        <v>1795771.5416666667</v>
      </c>
      <c r="G72" s="10"/>
    </row>
    <row r="73" spans="2:9" x14ac:dyDescent="0.25">
      <c r="B73" s="43" t="s">
        <v>8</v>
      </c>
      <c r="C73" s="43"/>
      <c r="D73" s="43"/>
      <c r="E73" s="43"/>
      <c r="F73" s="5">
        <f>SUM(F72)</f>
        <v>1795771.5416666667</v>
      </c>
      <c r="G73" s="10"/>
    </row>
    <row r="74" spans="2:9" x14ac:dyDescent="0.25">
      <c r="B74" s="31"/>
      <c r="C74" s="31"/>
      <c r="D74" s="32"/>
      <c r="E74" s="33"/>
      <c r="F74" s="34"/>
      <c r="G74" s="10"/>
    </row>
    <row r="75" spans="2:9" x14ac:dyDescent="0.25">
      <c r="B75" s="38" t="s">
        <v>20</v>
      </c>
      <c r="C75" s="38"/>
      <c r="D75" s="38"/>
      <c r="E75" s="38"/>
      <c r="F75" s="38"/>
      <c r="G75" s="38"/>
      <c r="H75" s="38"/>
      <c r="I75" s="38"/>
    </row>
    <row r="76" spans="2:9" x14ac:dyDescent="0.25">
      <c r="B76" s="58"/>
      <c r="C76" s="58"/>
      <c r="D76" s="58"/>
      <c r="E76" s="20" t="s">
        <v>21</v>
      </c>
      <c r="F76" s="20" t="s">
        <v>22</v>
      </c>
      <c r="G76" s="20" t="s">
        <v>23</v>
      </c>
      <c r="H76" s="59" t="s">
        <v>24</v>
      </c>
      <c r="I76" s="59"/>
    </row>
    <row r="77" spans="2:9" x14ac:dyDescent="0.25">
      <c r="B77" s="44" t="s">
        <v>25</v>
      </c>
      <c r="C77" s="44"/>
      <c r="D77" s="44"/>
      <c r="E77" s="21">
        <v>2018</v>
      </c>
      <c r="F77" s="21">
        <v>8</v>
      </c>
      <c r="G77" s="22">
        <v>18</v>
      </c>
      <c r="H77" s="23" t="s">
        <v>26</v>
      </c>
      <c r="I77" s="24" t="s">
        <v>27</v>
      </c>
    </row>
    <row r="78" spans="2:9" x14ac:dyDescent="0.25">
      <c r="B78" s="44" t="s">
        <v>28</v>
      </c>
      <c r="C78" s="44"/>
      <c r="D78" s="44"/>
      <c r="E78" s="25">
        <v>2015</v>
      </c>
      <c r="F78" s="25">
        <v>12</v>
      </c>
      <c r="G78" s="26">
        <v>18</v>
      </c>
      <c r="H78" s="27">
        <f>(E77-E78)*360+(F77-F78)*30+(G77-G78+1)</f>
        <v>961</v>
      </c>
      <c r="I78" s="28">
        <f>H78/360</f>
        <v>2.6694444444444443</v>
      </c>
    </row>
    <row r="79" spans="2:9" x14ac:dyDescent="0.25">
      <c r="B79" s="44" t="s">
        <v>29</v>
      </c>
      <c r="C79" s="44"/>
      <c r="D79" s="44"/>
      <c r="E79" s="60">
        <v>781242</v>
      </c>
      <c r="F79" s="60"/>
      <c r="G79" s="60"/>
      <c r="H79" s="60"/>
      <c r="I79" s="60"/>
    </row>
    <row r="80" spans="2:9" x14ac:dyDescent="0.25">
      <c r="B80" s="44" t="s">
        <v>30</v>
      </c>
      <c r="C80" s="44"/>
      <c r="D80" s="44"/>
      <c r="E80" s="35">
        <f>E79/30</f>
        <v>26041.4</v>
      </c>
      <c r="F80" s="35"/>
      <c r="G80" s="35"/>
      <c r="H80" s="35"/>
      <c r="I80" s="35"/>
    </row>
    <row r="81" spans="2:9" x14ac:dyDescent="0.25">
      <c r="B81" s="44" t="s">
        <v>31</v>
      </c>
      <c r="C81" s="44"/>
      <c r="D81" s="44"/>
      <c r="E81" s="35">
        <f>E79</f>
        <v>781242</v>
      </c>
      <c r="F81" s="35"/>
      <c r="G81" s="35"/>
      <c r="H81" s="35"/>
      <c r="I81" s="35"/>
    </row>
    <row r="82" spans="2:9" x14ac:dyDescent="0.25">
      <c r="B82" s="44" t="s">
        <v>32</v>
      </c>
      <c r="C82" s="44"/>
      <c r="D82" s="44"/>
      <c r="E82" s="29">
        <f>I78-1</f>
        <v>1.6694444444444443</v>
      </c>
      <c r="F82" s="35">
        <f>E82*20*E80</f>
        <v>869493.41111111105</v>
      </c>
      <c r="G82" s="35"/>
      <c r="H82" s="35"/>
      <c r="I82" s="35"/>
    </row>
    <row r="83" spans="2:9" x14ac:dyDescent="0.25">
      <c r="B83" s="36" t="s">
        <v>33</v>
      </c>
      <c r="C83" s="36"/>
      <c r="D83" s="36"/>
      <c r="E83" s="30"/>
      <c r="F83" s="37">
        <f>E81+F82</f>
        <v>1650735.4111111111</v>
      </c>
      <c r="G83" s="37"/>
      <c r="H83" s="37"/>
      <c r="I83" s="37"/>
    </row>
    <row r="85" spans="2:9" x14ac:dyDescent="0.25">
      <c r="B85" s="38" t="s">
        <v>34</v>
      </c>
      <c r="C85" s="38"/>
      <c r="D85" s="38"/>
      <c r="E85" s="38"/>
      <c r="F85" s="38"/>
    </row>
    <row r="86" spans="2:9" x14ac:dyDescent="0.25">
      <c r="B86" s="39" t="s">
        <v>14</v>
      </c>
      <c r="C86" s="39"/>
      <c r="D86" s="39" t="s">
        <v>35</v>
      </c>
      <c r="E86" s="39"/>
      <c r="F86" s="7" t="s">
        <v>16</v>
      </c>
    </row>
    <row r="87" spans="2:9" x14ac:dyDescent="0.25">
      <c r="B87" s="40">
        <f>(781242/30)</f>
        <v>26041.4</v>
      </c>
      <c r="C87" s="40"/>
      <c r="D87" s="41">
        <v>720</v>
      </c>
      <c r="E87" s="41"/>
      <c r="F87" s="9">
        <f>B87*D87</f>
        <v>18749808</v>
      </c>
    </row>
    <row r="89" spans="2:9" x14ac:dyDescent="0.25">
      <c r="B89" s="42" t="s">
        <v>18</v>
      </c>
      <c r="C89" s="42"/>
      <c r="D89" s="42"/>
      <c r="E89" s="42"/>
      <c r="F89" s="8">
        <f>SUM(F61+F65+F69+F73+F83+F87)</f>
        <v>23339471.757177778</v>
      </c>
    </row>
  </sheetData>
  <mergeCells count="41">
    <mergeCell ref="B5:F5"/>
    <mergeCell ref="B23:E23"/>
    <mergeCell ref="B32:E32"/>
    <mergeCell ref="B41:E41"/>
    <mergeCell ref="B45:E45"/>
    <mergeCell ref="H7:K10"/>
    <mergeCell ref="H12:K15"/>
    <mergeCell ref="B89:E89"/>
    <mergeCell ref="B14:E14"/>
    <mergeCell ref="B47:F47"/>
    <mergeCell ref="B48:C48"/>
    <mergeCell ref="D48:E48"/>
    <mergeCell ref="B49:C49"/>
    <mergeCell ref="D49:E49"/>
    <mergeCell ref="B53:E53"/>
    <mergeCell ref="B57:F57"/>
    <mergeCell ref="B75:I75"/>
    <mergeCell ref="B76:D76"/>
    <mergeCell ref="H76:I76"/>
    <mergeCell ref="B77:D77"/>
    <mergeCell ref="B78:D78"/>
    <mergeCell ref="B87:C87"/>
    <mergeCell ref="D87:E87"/>
    <mergeCell ref="B55:E55"/>
    <mergeCell ref="B61:E61"/>
    <mergeCell ref="B65:E65"/>
    <mergeCell ref="B69:E69"/>
    <mergeCell ref="B73:E73"/>
    <mergeCell ref="B82:D82"/>
    <mergeCell ref="B80:D80"/>
    <mergeCell ref="E80:I80"/>
    <mergeCell ref="B81:D81"/>
    <mergeCell ref="E81:I81"/>
    <mergeCell ref="B79:D79"/>
    <mergeCell ref="E79:I79"/>
    <mergeCell ref="F82:I82"/>
    <mergeCell ref="B83:D83"/>
    <mergeCell ref="F83:I83"/>
    <mergeCell ref="B85:F85"/>
    <mergeCell ref="B86:C86"/>
    <mergeCell ref="D86:E8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Natalia Esquivel Vega</cp:lastModifiedBy>
  <cp:revision/>
  <dcterms:created xsi:type="dcterms:W3CDTF">2023-05-23T18:21:31Z</dcterms:created>
  <dcterms:modified xsi:type="dcterms:W3CDTF">2023-10-23T16:00:31Z</dcterms:modified>
  <cp:category/>
  <cp:contentStatus/>
</cp:coreProperties>
</file>