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0" documentId="13_ncr:1_{ADCC4A7F-6A4B-468B-94C9-C6CBE07AE4E8}" xr6:coauthVersionLast="47" xr6:coauthVersionMax="47" xr10:uidLastSave="{00000000-0000-0000-0000-000000000000}"/>
  <bookViews>
    <workbookView xWindow="-120" yWindow="-120" windowWidth="29040" windowHeight="15720"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D21" i="1"/>
  <c r="D20" i="1"/>
  <c r="D19" i="1"/>
  <c r="D15" i="1"/>
  <c r="D14" i="1"/>
  <c r="D13" i="1"/>
  <c r="B47" i="1"/>
  <c r="E31" i="1"/>
  <c r="E27" i="1"/>
  <c r="E25" i="1"/>
  <c r="E21" i="1"/>
  <c r="E15" i="1"/>
  <c r="E9" i="1"/>
  <c r="F15" i="1" l="1"/>
  <c r="F14" i="1"/>
  <c r="E13" i="1"/>
  <c r="F13" i="1" s="1"/>
  <c r="F9" i="1"/>
  <c r="F8" i="1"/>
  <c r="E7" i="1"/>
  <c r="F7" i="1" s="1"/>
  <c r="F10" i="1" s="1"/>
  <c r="F16" i="1" l="1"/>
  <c r="F47" i="1"/>
  <c r="E41" i="1"/>
  <c r="E40" i="1"/>
  <c r="H38" i="1"/>
  <c r="I38" i="1" s="1"/>
  <c r="E42" i="1" s="1"/>
  <c r="F21" i="1"/>
  <c r="F20" i="1"/>
  <c r="E19" i="1"/>
  <c r="F19" i="1" s="1"/>
  <c r="F31" i="1"/>
  <c r="F32" i="1" s="1"/>
  <c r="F22" i="1" l="1"/>
  <c r="F42" i="1"/>
  <c r="F43" i="1" s="1"/>
  <c r="F26" i="1"/>
  <c r="F27" i="1"/>
  <c r="F25" i="1"/>
  <c r="F28" i="1" l="1"/>
</calcChain>
</file>

<file path=xl/sharedStrings.xml><?xml version="1.0" encoding="utf-8"?>
<sst xmlns="http://schemas.openxmlformats.org/spreadsheetml/2006/main" count="54" uniqueCount="35">
  <si>
    <t>LIQUIDACIÓN DE LAS PRETENSIONES DE LA DEMANDA</t>
  </si>
  <si>
    <t xml:space="preserve">NOTA 1: La demandante solicita que se le paguen los salarios, prestaciones sociales e indemnizaciones desde la fecha del supuesto despido ilegal hasta la fecha de reintegro, motivo por el cual se cálcula desde el 01/02/2022 hasta el 24/01/2024  (día en que se realiza la presente liquidación). </t>
  </si>
  <si>
    <t>DESDE</t>
  </si>
  <si>
    <t>HASTA</t>
  </si>
  <si>
    <t>SALARIO</t>
  </si>
  <si>
    <t>DÍAS</t>
  </si>
  <si>
    <t>SALARIOS</t>
  </si>
  <si>
    <t>TOTAL ADEUDADO</t>
  </si>
  <si>
    <t>NOTA 2: Se realiza la liquidación sin perjuicio de que en la calificación de contingencia se precisa que  las pólizas expedidas por la ASEGURADORA SOLIDARIA DE COLOMBIA E.C. no prestan cobertura temporal  ya que tiene una data del  11/01/2017 al 17/01/2017 (póliza No. 400 – 45 – 994000012812), 18/01/2017 al 31/01/2017 (póliza No. 400 – 45 – 994000012840), 01/02/2017 al 11/02/2017 (póliza No. 400 – 45 – 994000012887), 12/02/2017 al 22/02/2017 (póliza No. 400 – 45 – 994000012955), 23/02/2017 al 05/03/2017 (póliza No. 400 – 45 – 994000013001), 17/03/2017 al 27/03/2017 (póliza No. 400 – 45 – 994000013139), 28/03/2017 al 09/04/2017 (póliza No. 400 – 47– 994000049543), 10/04/2017 al 21/04/2017 (póliza No. 410 – 47– 994000023856), 22/04/2017 al 03/05/2017 (póliza No. 410 – 47– 994000023909), 04/05/2017 al 20/05/2017 (póliza No. 410 – 47– 994000023967), 21/05/2017 al 31/05/2017 (póliza No. 410 – 47– 994000024041), 01/06/2017 al 17/06/2017 (póliza No. 410 – 47– 994000024084), 18/06/2017 al 30/06/2017 (póliza No. 410 – 47– 994000024135), 01/07/2017 al 16/07/2017 (póliza No. 410 – 47– 994000024175), 17/07/2017 al 31/07/2017 (póliza No. 410 – 47– 994000024210), 17/08/2017 al 31/08/2017 (póliza No. 410 – 47– 994000024294), 04/09/2017 al 17/09/2017 (póliza No. 410 – 47– 994000024324), 16/09/2017 al 30/09/2017 (póliza No. 410 – 47– 994000024366), 16/10/2017 al 31/10/2017 (póliza No. 410 – 47– 994000024464), 01/11/2017 al 15/11/2017 (póliza No. 410 – 47– 994000024550), 16/11/2017 al 30/11/2017 (póliza No. 410 – 47– 994000024601), 16/12/2017 al 31/12/2017 (póliza No. 410 – 47– 994000024745), 08/01/2018 al 22/01/2018 (póliza No. 410 – 47– 994000024808) y 23/01/2018 al 28/01/2018 (póliza No. 410 – 47– 994000024999) (Descontando los tres años adicionales otorgados por prescripción trienal).</t>
  </si>
  <si>
    <t xml:space="preserve">SALARIO + AUX TRANSPORTE </t>
  </si>
  <si>
    <t>PRIMAS</t>
  </si>
  <si>
    <t>CESANTÍAS</t>
  </si>
  <si>
    <t>NOTA 3: Se precisa que se liquida la indemnización del Art. 64 CST, no obstante, la trabajadora pretende el reintegro con ocasión a un despido ilegal, motivo por el cual, las pretensiones son excluyentes entre sí. Sin embargo, no se tendrán en cuenta para el total de la liquidación.</t>
  </si>
  <si>
    <t>INTERESES</t>
  </si>
  <si>
    <t xml:space="preserve">NOTA 4: Se precisa que se liquida la indemnización del artículo 26 de la Ley 361 de 1997. </t>
  </si>
  <si>
    <t>VACACIONES</t>
  </si>
  <si>
    <t>INDEMNIZACIÓN ARTÍCULO 64 DEL C.S.T.</t>
  </si>
  <si>
    <t>AÑO</t>
  </si>
  <si>
    <t>MES</t>
  </si>
  <si>
    <t>DÍA</t>
  </si>
  <si>
    <t>Tiempo Laborado en:</t>
  </si>
  <si>
    <t>Fecha de Liquidación:</t>
  </si>
  <si>
    <t>Días</t>
  </si>
  <si>
    <t>Años</t>
  </si>
  <si>
    <t>Fecha de Ingreso:</t>
  </si>
  <si>
    <t>Ingreso Mensual:</t>
  </si>
  <si>
    <t>Ingreso Diario:</t>
  </si>
  <si>
    <t>Indemnización primer año</t>
  </si>
  <si>
    <t>Indemnización años adicionales:</t>
  </si>
  <si>
    <t>Total Indemnizacón:</t>
  </si>
  <si>
    <t>INDEMNIZACIÓN DEL ARTÍCULO 26 DE LA LEY 361 DE 1997</t>
  </si>
  <si>
    <t>Salario diario</t>
  </si>
  <si>
    <t>x180 días</t>
  </si>
  <si>
    <t>Total</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</si>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</sst>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 numFmtId="167" formatCode="_ &quot;$&quot;\ * #,##0_ ;_ &quot;$&quot;\ * \-#,##0_ ;_ &quot;$&quot;\ * &quot;-&quot;_ ;_ @_ "/>
    <numFmt numFmtId="168" formatCode="_ * #,##0_ ;_ * \-#,##0_ ;_ * &quot;-&quot;_ ;_ @_ "/>
    <numFmt numFmtId="169" formatCode="_ &quot;$&quot;\ * #,##0.00_ ;_ &quot;$&quot;\ * \-#,##0.00_ ;_ &quot;$&quot;\ * &quot;-&quot;??_ ;_ @_ "/>
  </numFmts>
  <fonts count="12" x14ac:knownFonts="1">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sz val="11"/>
      <color rgb="FF000000"/>
      <name val="Calibri"/>
      <family val="2"/>
      <scheme val="minor"/>
    </font>
    <font>
      <b/>
      <sz val="9"/>
      <color theme="1"/>
      <name val="Calibri"/>
      <family val="2"/>
      <scheme val="minor"/>
    </font>
    <font>
      <sz val="9"/>
      <name val="Arial"/>
      <family val="2"/>
    </font>
    <font>
      <b/>
      <sz val="9"/>
      <name val="Arial"/>
      <family val="2"/>
    </font>
    <font>
      <b/>
      <sz val="9"/>
      <color theme="1"/>
      <name val="Arial"/>
      <family val="2"/>
    </font>
    <font>
      <sz val="9"/>
      <name val="Calibri"/>
      <family val="2"/>
      <scheme val="minor"/>
    </font>
    <font>
      <b/>
      <sz val="10"/>
      <color theme="0"/>
      <name val="Calibri"/>
      <family val="2"/>
      <scheme val="minor"/>
    </font>
    <font>
      <sz val="10"/>
      <name val="Arial"/>
      <family val="2"/>
    </font>
  </fonts>
  <fills count="6">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xf numFmtId="168" fontId="11" fillId="0" borderId="0" applyFont="0" applyFill="0" applyBorder="0" applyAlignment="0" applyProtection="0"/>
    <xf numFmtId="169" fontId="11" fillId="0" borderId="0" applyFont="0" applyFill="0" applyBorder="0" applyAlignment="0" applyProtection="0"/>
    <xf numFmtId="167"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0" fontId="2" fillId="0" borderId="0" xfId="0" applyFont="1"/>
    <xf numFmtId="0" fontId="5" fillId="0" borderId="2" xfId="0" applyFont="1" applyBorder="1" applyAlignment="1">
      <alignment horizontal="center"/>
    </xf>
    <xf numFmtId="164" fontId="5" fillId="4" borderId="2" xfId="1" applyNumberFormat="1" applyFont="1" applyFill="1" applyBorder="1" applyAlignment="1">
      <alignment horizontal="center"/>
    </xf>
    <xf numFmtId="14" fontId="2" fillId="0" borderId="2" xfId="0" applyNumberFormat="1" applyFont="1" applyBorder="1"/>
    <xf numFmtId="164" fontId="2" fillId="0" borderId="2" xfId="1" applyNumberFormat="1" applyFont="1" applyBorder="1"/>
    <xf numFmtId="164" fontId="2" fillId="0" borderId="2" xfId="1" applyNumberFormat="1" applyFont="1" applyFill="1" applyBorder="1"/>
    <xf numFmtId="164" fontId="5" fillId="2" borderId="2" xfId="1" applyNumberFormat="1" applyFont="1" applyFill="1" applyBorder="1"/>
    <xf numFmtId="0" fontId="7" fillId="0" borderId="3"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7" fillId="4" borderId="2" xfId="0" applyFont="1" applyFill="1" applyBorder="1" applyAlignment="1">
      <alignment horizontal="center"/>
    </xf>
    <xf numFmtId="165" fontId="7" fillId="4" borderId="2" xfId="0" applyNumberFormat="1" applyFont="1" applyFill="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3" fontId="6" fillId="0" borderId="2" xfId="0" applyNumberFormat="1" applyFont="1" applyBorder="1" applyAlignment="1">
      <alignment horizontal="center"/>
    </xf>
    <xf numFmtId="2" fontId="6" fillId="0" borderId="2" xfId="0" applyNumberFormat="1" applyFont="1" applyBorder="1" applyAlignment="1">
      <alignment horizontal="center"/>
    </xf>
    <xf numFmtId="2" fontId="7" fillId="0" borderId="3" xfId="0" applyNumberFormat="1" applyFont="1" applyBorder="1" applyAlignment="1">
      <alignment horizontal="center"/>
    </xf>
    <xf numFmtId="0" fontId="7" fillId="0" borderId="2" xfId="0" applyFont="1" applyBorder="1"/>
    <xf numFmtId="0" fontId="7" fillId="0" borderId="0" xfId="0" applyFont="1" applyAlignment="1">
      <alignment horizontal="center"/>
    </xf>
    <xf numFmtId="0" fontId="7" fillId="0" borderId="0" xfId="0" applyFont="1"/>
    <xf numFmtId="8" fontId="7" fillId="0" borderId="0" xfId="0" applyNumberFormat="1" applyFont="1" applyAlignment="1">
      <alignment horizontal="center"/>
    </xf>
    <xf numFmtId="0" fontId="9" fillId="0" borderId="0" xfId="0" applyFont="1"/>
    <xf numFmtId="44" fontId="10" fillId="5" borderId="2" xfId="0" applyNumberFormat="1" applyFont="1" applyFill="1" applyBorder="1"/>
    <xf numFmtId="0" fontId="5" fillId="0" borderId="2" xfId="0" applyFont="1" applyBorder="1" applyAlignment="1">
      <alignment horizontal="center" vertical="center"/>
    </xf>
    <xf numFmtId="166" fontId="5" fillId="0" borderId="2" xfId="0" applyNumberFormat="1" applyFont="1" applyBorder="1"/>
    <xf numFmtId="0" fontId="4" fillId="0" borderId="0" xfId="0" applyFont="1"/>
    <xf numFmtId="0" fontId="4" fillId="0" borderId="0" xfId="0" applyFont="1" applyAlignment="1">
      <alignment vertical="center" wrapText="1"/>
    </xf>
    <xf numFmtId="0" fontId="10" fillId="5" borderId="2" xfId="0" applyFont="1" applyFill="1" applyBorder="1" applyAlignment="1">
      <alignment horizontal="center"/>
    </xf>
    <xf numFmtId="0" fontId="6" fillId="0" borderId="2" xfId="0" applyFont="1" applyBorder="1" applyAlignment="1">
      <alignment horizontal="center"/>
    </xf>
    <xf numFmtId="0" fontId="7" fillId="0" borderId="2" xfId="0" applyFont="1" applyBorder="1" applyAlignment="1">
      <alignment horizontal="center"/>
    </xf>
    <xf numFmtId="0" fontId="5" fillId="0" borderId="2" xfId="0" applyFont="1" applyBorder="1" applyAlignment="1">
      <alignment horizontal="center"/>
    </xf>
    <xf numFmtId="0" fontId="5" fillId="0" borderId="2" xfId="0" applyFont="1" applyBorder="1" applyAlignment="1">
      <alignment horizontal="center" vertical="center"/>
    </xf>
    <xf numFmtId="166" fontId="2" fillId="0" borderId="2" xfId="2" applyNumberFormat="1" applyFont="1" applyFill="1" applyBorder="1" applyAlignment="1">
      <alignment horizontal="center"/>
    </xf>
    <xf numFmtId="0" fontId="2" fillId="0" borderId="2" xfId="0" applyFont="1" applyBorder="1" applyAlignment="1">
      <alignment horizontal="center"/>
    </xf>
    <xf numFmtId="8" fontId="6" fillId="0" borderId="2" xfId="0" applyNumberFormat="1" applyFont="1" applyBorder="1" applyAlignment="1">
      <alignment horizontal="center"/>
    </xf>
    <xf numFmtId="8" fontId="7" fillId="0" borderId="2" xfId="0" applyNumberFormat="1" applyFont="1" applyBorder="1" applyAlignment="1">
      <alignment horizontal="center"/>
    </xf>
    <xf numFmtId="8" fontId="7" fillId="2" borderId="2" xfId="0" applyNumberFormat="1" applyFont="1" applyFill="1" applyBorder="1" applyAlignment="1">
      <alignment horizontal="center"/>
    </xf>
    <xf numFmtId="0" fontId="4" fillId="3" borderId="2" xfId="0" applyFont="1" applyFill="1" applyBorder="1" applyAlignment="1">
      <alignment horizontal="center" vertical="center" wrapText="1"/>
    </xf>
    <xf numFmtId="0" fontId="8" fillId="0" borderId="4" xfId="0" applyFont="1" applyBorder="1" applyAlignment="1">
      <alignment horizontal="center"/>
    </xf>
    <xf numFmtId="0" fontId="5" fillId="4" borderId="2" xfId="0" applyFont="1" applyFill="1" applyBorder="1" applyAlignment="1">
      <alignment horizontal="center"/>
    </xf>
    <xf numFmtId="0" fontId="6" fillId="0" borderId="3" xfId="0" applyFont="1" applyBorder="1" applyAlignment="1">
      <alignment horizontal="center"/>
    </xf>
    <xf numFmtId="0" fontId="5" fillId="0" borderId="5"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2" borderId="1" xfId="0" applyFont="1" applyFill="1" applyBorder="1" applyAlignment="1">
      <alignment horizontal="center"/>
    </xf>
  </cellXfs>
  <cellStyles count="13">
    <cellStyle name="Millares" xfId="1" builtinId="3"/>
    <cellStyle name="Millares [0] 2" xfId="6" xr:uid="{D45F5FD5-E360-44B2-9349-BB260D084681}"/>
    <cellStyle name="Millares 2" xfId="9" xr:uid="{258689CB-D991-423B-B5BD-A5A636B06414}"/>
    <cellStyle name="Millares 3" xfId="11" xr:uid="{0E41F08C-75E0-4E4F-A81B-2B5755EBEAB1}"/>
    <cellStyle name="Millares 4" xfId="3" xr:uid="{8BCDA86B-E1A2-4CA4-B01E-51ECD2B852E1}"/>
    <cellStyle name="Moneda" xfId="2" builtinId="4"/>
    <cellStyle name="Moneda [0] 2" xfId="8" xr:uid="{C26A8AC3-7600-42EA-AA91-341523FD88B1}"/>
    <cellStyle name="Moneda 2" xfId="7" xr:uid="{71D6B488-A365-4472-8079-41265511CCA9}"/>
    <cellStyle name="Moneda 3" xfId="10" xr:uid="{61155606-8A75-4F85-93B9-0D361E770C68}"/>
    <cellStyle name="Moneda 4" xfId="12" xr:uid="{2C448203-C344-465E-A212-D33BCB45BECD}"/>
    <cellStyle name="Moneda 5" xfId="4" xr:uid="{803DDB03-02FB-4ECA-AF8E-5EC3BA3CA0D0}"/>
    <cellStyle name="Normal" xfId="0" builtinId="0"/>
    <cellStyle name="Normal 2" xfId="5"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723186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O76"/>
  <sheetViews>
    <sheetView tabSelected="1" topLeftCell="A25" workbookViewId="0">
      <selection activeCell="F50" sqref="F50"/>
    </sheetView>
  </sheetViews>
  <sheetFormatPr baseColWidth="10" defaultColWidth="11.42578125" defaultRowHeight="15" x14ac:dyDescent="0.25"/>
  <cols>
    <col min="4" max="4" width="22.42578125" customWidth="1"/>
    <col min="5" max="5" width="15.28515625" customWidth="1"/>
    <col min="6" max="6" width="18.42578125" customWidth="1"/>
  </cols>
  <sheetData>
    <row r="1" spans="2:12" x14ac:dyDescent="0.25">
      <c r="B1" s="1"/>
      <c r="C1" s="1"/>
      <c r="D1" s="1"/>
      <c r="E1" s="1"/>
      <c r="F1" s="1"/>
      <c r="G1" s="1"/>
    </row>
    <row r="2" spans="2:12" x14ac:dyDescent="0.25">
      <c r="B2" s="1"/>
      <c r="C2" s="1"/>
      <c r="D2" s="1"/>
      <c r="E2" s="1"/>
      <c r="F2" s="1"/>
      <c r="G2" s="1"/>
    </row>
    <row r="3" spans="2:12" x14ac:dyDescent="0.25">
      <c r="B3" s="1"/>
      <c r="C3" s="1"/>
      <c r="D3" s="1"/>
      <c r="E3" s="1"/>
      <c r="F3" s="1"/>
      <c r="G3" s="1"/>
    </row>
    <row r="4" spans="2:12" x14ac:dyDescent="0.25">
      <c r="B4" s="1"/>
      <c r="C4" s="1"/>
      <c r="D4" s="1"/>
      <c r="E4" s="1"/>
      <c r="F4" s="1"/>
      <c r="G4" s="1"/>
    </row>
    <row r="5" spans="2:12" ht="15" customHeight="1" x14ac:dyDescent="0.25">
      <c r="B5" s="54" t="s">
        <v>0</v>
      </c>
      <c r="C5" s="54"/>
      <c r="D5" s="54"/>
      <c r="E5" s="54"/>
      <c r="F5" s="54"/>
      <c r="G5" s="1"/>
      <c r="H5" s="45" t="s">
        <v>1</v>
      </c>
      <c r="I5" s="46"/>
      <c r="J5" s="46"/>
      <c r="K5" s="46"/>
      <c r="L5" s="47"/>
    </row>
    <row r="6" spans="2:12" x14ac:dyDescent="0.25">
      <c r="B6" s="2" t="s">
        <v>2</v>
      </c>
      <c r="C6" s="2" t="s">
        <v>3</v>
      </c>
      <c r="D6" s="2" t="s">
        <v>4</v>
      </c>
      <c r="E6" s="2" t="s">
        <v>5</v>
      </c>
      <c r="F6" s="3" t="s">
        <v>6</v>
      </c>
      <c r="G6" s="1"/>
      <c r="H6" s="48"/>
      <c r="I6" s="49"/>
      <c r="J6" s="49"/>
      <c r="K6" s="49"/>
      <c r="L6" s="50"/>
    </row>
    <row r="7" spans="2:12" x14ac:dyDescent="0.25">
      <c r="B7" s="4">
        <v>44593</v>
      </c>
      <c r="C7" s="4">
        <v>44926</v>
      </c>
      <c r="D7" s="5">
        <v>1000000</v>
      </c>
      <c r="E7" s="5">
        <f t="shared" ref="E7:E9" si="0">DAYS360(B7,C7)+1</f>
        <v>331</v>
      </c>
      <c r="F7" s="6">
        <f t="shared" ref="F7:F9" si="1">(D7/30)*E7</f>
        <v>11033333.333333334</v>
      </c>
      <c r="G7" s="1"/>
      <c r="H7" s="48"/>
      <c r="I7" s="49"/>
      <c r="J7" s="49"/>
      <c r="K7" s="49"/>
      <c r="L7" s="50"/>
    </row>
    <row r="8" spans="2:12" x14ac:dyDescent="0.25">
      <c r="B8" s="4">
        <v>44927</v>
      </c>
      <c r="C8" s="4">
        <v>45291</v>
      </c>
      <c r="D8" s="5">
        <v>1160000</v>
      </c>
      <c r="E8" s="5">
        <v>360</v>
      </c>
      <c r="F8" s="6">
        <f t="shared" si="1"/>
        <v>13920000</v>
      </c>
      <c r="G8" s="1"/>
      <c r="H8" s="48"/>
      <c r="I8" s="49"/>
      <c r="J8" s="49"/>
      <c r="K8" s="49"/>
      <c r="L8" s="50"/>
    </row>
    <row r="9" spans="2:12" x14ac:dyDescent="0.25">
      <c r="B9" s="4">
        <v>45292</v>
      </c>
      <c r="C9" s="4">
        <v>45315</v>
      </c>
      <c r="D9" s="5">
        <v>1300000</v>
      </c>
      <c r="E9" s="5">
        <f t="shared" si="0"/>
        <v>24</v>
      </c>
      <c r="F9" s="6">
        <f t="shared" si="1"/>
        <v>1040000</v>
      </c>
      <c r="G9" s="1"/>
      <c r="H9" s="51"/>
      <c r="I9" s="52"/>
      <c r="J9" s="52"/>
      <c r="K9" s="52"/>
      <c r="L9" s="53"/>
    </row>
    <row r="10" spans="2:12" ht="15" customHeight="1" x14ac:dyDescent="0.25">
      <c r="B10" s="31" t="s">
        <v>7</v>
      </c>
      <c r="C10" s="31"/>
      <c r="D10" s="31"/>
      <c r="E10" s="31"/>
      <c r="F10" s="7">
        <f>SUM(F7:F9)</f>
        <v>25993333.333333336</v>
      </c>
      <c r="G10" s="1"/>
      <c r="H10" s="38" t="s">
        <v>8</v>
      </c>
      <c r="I10" s="38"/>
      <c r="J10" s="38"/>
      <c r="K10" s="38"/>
      <c r="L10" s="38"/>
    </row>
    <row r="11" spans="2:12" x14ac:dyDescent="0.25">
      <c r="B11" s="1"/>
      <c r="C11" s="1"/>
      <c r="D11" s="1"/>
      <c r="E11" s="1"/>
      <c r="F11" s="1"/>
      <c r="G11" s="1"/>
      <c r="H11" s="38"/>
      <c r="I11" s="38"/>
      <c r="J11" s="38"/>
      <c r="K11" s="38"/>
      <c r="L11" s="38"/>
    </row>
    <row r="12" spans="2:12" x14ac:dyDescent="0.25">
      <c r="B12" s="2" t="s">
        <v>2</v>
      </c>
      <c r="C12" s="2" t="s">
        <v>3</v>
      </c>
      <c r="D12" s="2" t="s">
        <v>9</v>
      </c>
      <c r="E12" s="2" t="s">
        <v>5</v>
      </c>
      <c r="F12" s="3" t="s">
        <v>10</v>
      </c>
      <c r="G12" s="1"/>
      <c r="H12" s="38"/>
      <c r="I12" s="38"/>
      <c r="J12" s="38"/>
      <c r="K12" s="38"/>
      <c r="L12" s="38"/>
    </row>
    <row r="13" spans="2:12" x14ac:dyDescent="0.25">
      <c r="B13" s="4">
        <v>44593</v>
      </c>
      <c r="C13" s="4">
        <v>44926</v>
      </c>
      <c r="D13" s="5">
        <f>1000000+117172</f>
        <v>1117172</v>
      </c>
      <c r="E13" s="5">
        <f t="shared" ref="E13" si="2">DAYS360(B13,C13)+1</f>
        <v>331</v>
      </c>
      <c r="F13" s="6">
        <f t="shared" ref="F13:F15" si="3">(D13*E13)/360</f>
        <v>1027177.5888888889</v>
      </c>
      <c r="G13" s="1"/>
      <c r="H13" s="38"/>
      <c r="I13" s="38"/>
      <c r="J13" s="38"/>
      <c r="K13" s="38"/>
      <c r="L13" s="38"/>
    </row>
    <row r="14" spans="2:12" x14ac:dyDescent="0.25">
      <c r="B14" s="4">
        <v>44927</v>
      </c>
      <c r="C14" s="4">
        <v>45291</v>
      </c>
      <c r="D14" s="5">
        <f>1160000+140606</f>
        <v>1300606</v>
      </c>
      <c r="E14" s="5">
        <v>360</v>
      </c>
      <c r="F14" s="6">
        <f t="shared" si="3"/>
        <v>1300606</v>
      </c>
      <c r="G14" s="1"/>
      <c r="H14" s="38"/>
      <c r="I14" s="38"/>
      <c r="J14" s="38"/>
      <c r="K14" s="38"/>
      <c r="L14" s="38"/>
    </row>
    <row r="15" spans="2:12" x14ac:dyDescent="0.25">
      <c r="B15" s="4">
        <v>45292</v>
      </c>
      <c r="C15" s="4">
        <v>45315</v>
      </c>
      <c r="D15" s="5">
        <f>1300000+162000</f>
        <v>1462000</v>
      </c>
      <c r="E15" s="5">
        <f t="shared" ref="E15" si="4">DAYS360(B15,C15)+1</f>
        <v>24</v>
      </c>
      <c r="F15" s="6">
        <f t="shared" si="3"/>
        <v>97466.666666666672</v>
      </c>
      <c r="G15" s="1"/>
      <c r="H15" s="38"/>
      <c r="I15" s="38"/>
      <c r="J15" s="38"/>
      <c r="K15" s="38"/>
      <c r="L15" s="38"/>
    </row>
    <row r="16" spans="2:12" ht="15" customHeight="1" x14ac:dyDescent="0.25">
      <c r="B16" s="31" t="s">
        <v>7</v>
      </c>
      <c r="C16" s="31"/>
      <c r="D16" s="31"/>
      <c r="E16" s="31"/>
      <c r="F16" s="7">
        <f>SUM(F13:F15)</f>
        <v>2425250.2555555557</v>
      </c>
      <c r="G16" s="1"/>
      <c r="H16" s="38"/>
      <c r="I16" s="38"/>
      <c r="J16" s="38"/>
      <c r="K16" s="38"/>
      <c r="L16" s="38"/>
    </row>
    <row r="17" spans="2:15" x14ac:dyDescent="0.25">
      <c r="G17" s="1"/>
      <c r="H17" s="27"/>
      <c r="I17" s="27"/>
      <c r="J17" s="27"/>
      <c r="K17" s="27"/>
      <c r="L17" s="27"/>
    </row>
    <row r="18" spans="2:15" x14ac:dyDescent="0.25">
      <c r="B18" s="2" t="s">
        <v>2</v>
      </c>
      <c r="C18" s="2" t="s">
        <v>3</v>
      </c>
      <c r="D18" s="2" t="s">
        <v>9</v>
      </c>
      <c r="E18" s="2" t="s">
        <v>5</v>
      </c>
      <c r="F18" s="3" t="s">
        <v>11</v>
      </c>
      <c r="G18" s="1"/>
      <c r="H18" s="38" t="s">
        <v>12</v>
      </c>
      <c r="I18" s="38"/>
      <c r="J18" s="38"/>
      <c r="K18" s="38"/>
      <c r="L18" s="38"/>
    </row>
    <row r="19" spans="2:15" x14ac:dyDescent="0.25">
      <c r="B19" s="4">
        <v>44593</v>
      </c>
      <c r="C19" s="4">
        <v>44926</v>
      </c>
      <c r="D19" s="5">
        <f>1000000+117172</f>
        <v>1117172</v>
      </c>
      <c r="E19" s="5">
        <f t="shared" ref="E19" si="5">DAYS360(B19,C19)+1</f>
        <v>331</v>
      </c>
      <c r="F19" s="6">
        <f t="shared" ref="F19:F21" si="6">(D19*E19)/360</f>
        <v>1027177.5888888889</v>
      </c>
      <c r="G19" s="1"/>
      <c r="H19" s="38"/>
      <c r="I19" s="38"/>
      <c r="J19" s="38"/>
      <c r="K19" s="38"/>
      <c r="L19" s="38"/>
    </row>
    <row r="20" spans="2:15" x14ac:dyDescent="0.25">
      <c r="B20" s="4">
        <v>44927</v>
      </c>
      <c r="C20" s="4">
        <v>45291</v>
      </c>
      <c r="D20" s="5">
        <f>1160000+140606</f>
        <v>1300606</v>
      </c>
      <c r="E20" s="5">
        <v>360</v>
      </c>
      <c r="F20" s="6">
        <f t="shared" si="6"/>
        <v>1300606</v>
      </c>
      <c r="G20" s="1"/>
      <c r="H20" s="38"/>
      <c r="I20" s="38"/>
      <c r="J20" s="38"/>
      <c r="K20" s="38"/>
      <c r="L20" s="38"/>
    </row>
    <row r="21" spans="2:15" x14ac:dyDescent="0.25">
      <c r="B21" s="4">
        <v>45292</v>
      </c>
      <c r="C21" s="4">
        <v>45315</v>
      </c>
      <c r="D21" s="5">
        <f>1300000+162000</f>
        <v>1462000</v>
      </c>
      <c r="E21" s="5">
        <f t="shared" ref="E21" si="7">DAYS360(B21,C21)+1</f>
        <v>24</v>
      </c>
      <c r="F21" s="6">
        <f t="shared" si="6"/>
        <v>97466.666666666672</v>
      </c>
      <c r="G21" s="1"/>
      <c r="H21" s="38"/>
      <c r="I21" s="38"/>
      <c r="J21" s="38"/>
      <c r="K21" s="38"/>
      <c r="L21" s="38"/>
    </row>
    <row r="22" spans="2:15" x14ac:dyDescent="0.25">
      <c r="B22" s="31" t="s">
        <v>7</v>
      </c>
      <c r="C22" s="31"/>
      <c r="D22" s="31"/>
      <c r="E22" s="31"/>
      <c r="F22" s="7">
        <f>SUM(F19:F21)</f>
        <v>2425250.2555555557</v>
      </c>
      <c r="G22" s="1"/>
      <c r="H22" s="27"/>
      <c r="I22" s="27"/>
      <c r="J22" s="27"/>
      <c r="K22" s="27"/>
      <c r="L22" s="27"/>
    </row>
    <row r="23" spans="2:15" x14ac:dyDescent="0.25">
      <c r="G23" s="1"/>
      <c r="H23" s="27"/>
      <c r="I23" s="27"/>
      <c r="J23" s="27"/>
      <c r="K23" s="27"/>
      <c r="L23" s="27"/>
    </row>
    <row r="24" spans="2:15" x14ac:dyDescent="0.25">
      <c r="B24" s="2" t="s">
        <v>2</v>
      </c>
      <c r="C24" s="2" t="s">
        <v>3</v>
      </c>
      <c r="D24" s="2" t="s">
        <v>11</v>
      </c>
      <c r="E24" s="2" t="s">
        <v>5</v>
      </c>
      <c r="F24" s="3" t="s">
        <v>13</v>
      </c>
      <c r="G24" s="1"/>
      <c r="H24" s="38" t="s">
        <v>14</v>
      </c>
      <c r="I24" s="38"/>
      <c r="J24" s="38"/>
      <c r="K24" s="38"/>
      <c r="L24" s="38"/>
    </row>
    <row r="25" spans="2:15" x14ac:dyDescent="0.25">
      <c r="B25" s="4">
        <v>44593</v>
      </c>
      <c r="C25" s="4">
        <v>44926</v>
      </c>
      <c r="D25" s="6">
        <v>1027177.5888888889</v>
      </c>
      <c r="E25" s="5">
        <f t="shared" ref="E25" si="8">DAYS360(B25,C25)+1</f>
        <v>331</v>
      </c>
      <c r="F25" s="5">
        <f t="shared" ref="F25:F27" si="9">(D25*E25*0.12)/360</f>
        <v>113331.92730740742</v>
      </c>
      <c r="G25" s="1"/>
      <c r="H25" s="38"/>
      <c r="I25" s="38"/>
      <c r="J25" s="38"/>
      <c r="K25" s="38"/>
      <c r="L25" s="38"/>
    </row>
    <row r="26" spans="2:15" x14ac:dyDescent="0.25">
      <c r="B26" s="4">
        <v>44927</v>
      </c>
      <c r="C26" s="4">
        <v>45291</v>
      </c>
      <c r="D26" s="6">
        <v>1300606</v>
      </c>
      <c r="E26" s="5">
        <v>360</v>
      </c>
      <c r="F26" s="5">
        <f t="shared" si="9"/>
        <v>156072.72</v>
      </c>
      <c r="G26" s="1"/>
      <c r="H26" s="38"/>
      <c r="I26" s="38"/>
      <c r="J26" s="38"/>
      <c r="K26" s="38"/>
      <c r="L26" s="38"/>
    </row>
    <row r="27" spans="2:15" x14ac:dyDescent="0.25">
      <c r="B27" s="4">
        <v>45292</v>
      </c>
      <c r="C27" s="4">
        <v>45315</v>
      </c>
      <c r="D27" s="6">
        <v>97466.666666666672</v>
      </c>
      <c r="E27" s="5">
        <f t="shared" ref="E27" si="10">DAYS360(B27,C27)+1</f>
        <v>24</v>
      </c>
      <c r="F27" s="5">
        <f t="shared" si="9"/>
        <v>779.73333333333335</v>
      </c>
      <c r="H27" s="38"/>
      <c r="I27" s="38"/>
      <c r="J27" s="38"/>
      <c r="K27" s="38"/>
      <c r="L27" s="38"/>
    </row>
    <row r="28" spans="2:15" x14ac:dyDescent="0.25">
      <c r="B28" s="31" t="s">
        <v>7</v>
      </c>
      <c r="C28" s="31"/>
      <c r="D28" s="31"/>
      <c r="E28" s="31"/>
      <c r="F28" s="7">
        <f>SUM(F25:F27)</f>
        <v>270184.38064074074</v>
      </c>
      <c r="H28" s="27"/>
      <c r="I28" s="27"/>
      <c r="J28" s="27"/>
      <c r="K28" s="27"/>
      <c r="L28" s="27"/>
    </row>
    <row r="29" spans="2:15" x14ac:dyDescent="0.25">
      <c r="H29" s="27"/>
      <c r="I29" s="27"/>
      <c r="J29" s="27"/>
      <c r="K29" s="27"/>
      <c r="L29" s="27"/>
    </row>
    <row r="30" spans="2:15" x14ac:dyDescent="0.25">
      <c r="B30" s="2" t="s">
        <v>2</v>
      </c>
      <c r="C30" s="2" t="s">
        <v>3</v>
      </c>
      <c r="D30" s="2" t="s">
        <v>4</v>
      </c>
      <c r="E30" s="2" t="s">
        <v>5</v>
      </c>
      <c r="F30" s="3" t="s">
        <v>15</v>
      </c>
      <c r="H30" s="27"/>
      <c r="I30" s="27"/>
      <c r="J30" s="27"/>
      <c r="K30" s="27"/>
      <c r="L30" s="27"/>
    </row>
    <row r="31" spans="2:15" x14ac:dyDescent="0.25">
      <c r="B31" s="4">
        <v>44593</v>
      </c>
      <c r="C31" s="4">
        <v>45315</v>
      </c>
      <c r="D31" s="5">
        <v>1300000</v>
      </c>
      <c r="E31" s="5">
        <f t="shared" ref="E31" si="11">DAYS360(B31,C31)+1</f>
        <v>714</v>
      </c>
      <c r="F31" s="5">
        <f>(D31*E31)/720</f>
        <v>1289166.6666666667</v>
      </c>
      <c r="H31" s="27"/>
      <c r="I31" s="27"/>
      <c r="J31" s="27"/>
      <c r="K31" s="27"/>
      <c r="L31" s="27"/>
      <c r="O31" s="26"/>
    </row>
    <row r="32" spans="2:15" x14ac:dyDescent="0.25">
      <c r="B32" s="42" t="s">
        <v>7</v>
      </c>
      <c r="C32" s="43"/>
      <c r="D32" s="43"/>
      <c r="E32" s="44"/>
      <c r="F32" s="7">
        <f>SUM(F31)</f>
        <v>1289166.6666666667</v>
      </c>
      <c r="H32" s="27"/>
      <c r="I32" s="27"/>
      <c r="J32" s="27"/>
      <c r="K32" s="27"/>
      <c r="L32" s="27"/>
    </row>
    <row r="35" spans="2:9" x14ac:dyDescent="0.25">
      <c r="B35" s="40" t="s">
        <v>16</v>
      </c>
      <c r="C35" s="40"/>
      <c r="D35" s="40"/>
      <c r="E35" s="40"/>
      <c r="F35" s="40"/>
      <c r="G35" s="40"/>
      <c r="H35" s="40"/>
      <c r="I35" s="40"/>
    </row>
    <row r="36" spans="2:9" x14ac:dyDescent="0.25">
      <c r="B36" s="41"/>
      <c r="C36" s="41"/>
      <c r="D36" s="41"/>
      <c r="E36" s="8" t="s">
        <v>17</v>
      </c>
      <c r="F36" s="8" t="s">
        <v>18</v>
      </c>
      <c r="G36" s="8" t="s">
        <v>19</v>
      </c>
      <c r="H36" s="39" t="s">
        <v>20</v>
      </c>
      <c r="I36" s="39"/>
    </row>
    <row r="37" spans="2:9" x14ac:dyDescent="0.25">
      <c r="B37" s="29" t="s">
        <v>21</v>
      </c>
      <c r="C37" s="29"/>
      <c r="D37" s="29"/>
      <c r="E37" s="9">
        <v>2022</v>
      </c>
      <c r="F37" s="9">
        <v>1</v>
      </c>
      <c r="G37" s="10">
        <v>31</v>
      </c>
      <c r="H37" s="11" t="s">
        <v>22</v>
      </c>
      <c r="I37" s="12" t="s">
        <v>23</v>
      </c>
    </row>
    <row r="38" spans="2:9" x14ac:dyDescent="0.25">
      <c r="B38" s="29" t="s">
        <v>24</v>
      </c>
      <c r="C38" s="29"/>
      <c r="D38" s="29"/>
      <c r="E38" s="13">
        <v>2017</v>
      </c>
      <c r="F38" s="13">
        <v>1</v>
      </c>
      <c r="G38" s="14">
        <v>18</v>
      </c>
      <c r="H38" s="15">
        <f>(E37-E38)*360+(F37-F38)*30+(G37-G38+1)</f>
        <v>1814</v>
      </c>
      <c r="I38" s="16">
        <f>H38/360</f>
        <v>5.0388888888888888</v>
      </c>
    </row>
    <row r="39" spans="2:9" x14ac:dyDescent="0.25">
      <c r="B39" s="29" t="s">
        <v>25</v>
      </c>
      <c r="C39" s="29"/>
      <c r="D39" s="29"/>
      <c r="E39" s="35">
        <v>1000000</v>
      </c>
      <c r="F39" s="35"/>
      <c r="G39" s="35"/>
      <c r="H39" s="35"/>
      <c r="I39" s="35"/>
    </row>
    <row r="40" spans="2:9" x14ac:dyDescent="0.25">
      <c r="B40" s="29" t="s">
        <v>26</v>
      </c>
      <c r="C40" s="29"/>
      <c r="D40" s="29"/>
      <c r="E40" s="36">
        <f>E39/30</f>
        <v>33333.333333333336</v>
      </c>
      <c r="F40" s="36"/>
      <c r="G40" s="36"/>
      <c r="H40" s="36"/>
      <c r="I40" s="36"/>
    </row>
    <row r="41" spans="2:9" x14ac:dyDescent="0.25">
      <c r="B41" s="29" t="s">
        <v>27</v>
      </c>
      <c r="C41" s="29"/>
      <c r="D41" s="29"/>
      <c r="E41" s="36">
        <f>E39</f>
        <v>1000000</v>
      </c>
      <c r="F41" s="36"/>
      <c r="G41" s="36"/>
      <c r="H41" s="36"/>
      <c r="I41" s="36"/>
    </row>
    <row r="42" spans="2:9" x14ac:dyDescent="0.25">
      <c r="B42" s="29" t="s">
        <v>28</v>
      </c>
      <c r="C42" s="29"/>
      <c r="D42" s="29"/>
      <c r="E42" s="17">
        <f>I38-1</f>
        <v>4.0388888888888888</v>
      </c>
      <c r="F42" s="36">
        <f>E42*20*E40</f>
        <v>2692592.5925925924</v>
      </c>
      <c r="G42" s="36"/>
      <c r="H42" s="36"/>
      <c r="I42" s="36"/>
    </row>
    <row r="43" spans="2:9" x14ac:dyDescent="0.25">
      <c r="B43" s="30" t="s">
        <v>29</v>
      </c>
      <c r="C43" s="30"/>
      <c r="D43" s="30"/>
      <c r="E43" s="18"/>
      <c r="F43" s="37">
        <f>E41+F42</f>
        <v>3692592.5925925924</v>
      </c>
      <c r="G43" s="37"/>
      <c r="H43" s="37"/>
      <c r="I43" s="37"/>
    </row>
    <row r="45" spans="2:9" x14ac:dyDescent="0.25">
      <c r="B45" s="31" t="s">
        <v>30</v>
      </c>
      <c r="C45" s="31"/>
      <c r="D45" s="31"/>
      <c r="E45" s="31"/>
      <c r="F45" s="31"/>
    </row>
    <row r="46" spans="2:9" x14ac:dyDescent="0.25">
      <c r="B46" s="32" t="s">
        <v>31</v>
      </c>
      <c r="C46" s="32"/>
      <c r="D46" s="32" t="s">
        <v>32</v>
      </c>
      <c r="E46" s="32"/>
      <c r="F46" s="24" t="s">
        <v>33</v>
      </c>
    </row>
    <row r="47" spans="2:9" x14ac:dyDescent="0.25">
      <c r="B47" s="33">
        <f>33333</f>
        <v>33333</v>
      </c>
      <c r="C47" s="33"/>
      <c r="D47" s="34">
        <v>180</v>
      </c>
      <c r="E47" s="34"/>
      <c r="F47" s="25">
        <f>B47*D47</f>
        <v>5999940</v>
      </c>
    </row>
    <row r="48" spans="2:9" x14ac:dyDescent="0.25">
      <c r="B48" s="1"/>
      <c r="C48" s="1"/>
      <c r="D48" s="1"/>
      <c r="E48" s="1"/>
      <c r="F48" s="1"/>
    </row>
    <row r="49" spans="2:6" x14ac:dyDescent="0.25">
      <c r="B49" s="28" t="s">
        <v>34</v>
      </c>
      <c r="C49" s="28"/>
      <c r="D49" s="28"/>
      <c r="E49" s="28"/>
      <c r="F49" s="23">
        <f>F10+F16+F22+F28+F32+F43+F47</f>
        <v>42095717.484344445</v>
      </c>
    </row>
    <row r="73" spans="2:7" x14ac:dyDescent="0.25">
      <c r="B73" s="19"/>
      <c r="C73" s="19"/>
      <c r="D73" s="19"/>
      <c r="E73" s="20"/>
      <c r="F73" s="21"/>
      <c r="G73" s="1"/>
    </row>
    <row r="74" spans="2:7" x14ac:dyDescent="0.25">
      <c r="B74" s="22"/>
      <c r="C74" s="22"/>
      <c r="D74" s="22"/>
      <c r="E74" s="22"/>
      <c r="F74" s="22"/>
      <c r="G74" s="1"/>
    </row>
    <row r="75" spans="2:7" x14ac:dyDescent="0.25">
      <c r="G75" s="1"/>
    </row>
    <row r="76" spans="2:7" x14ac:dyDescent="0.25">
      <c r="G76" s="1"/>
    </row>
  </sheetData>
  <mergeCells count="31">
    <mergeCell ref="H10:L16"/>
    <mergeCell ref="H5:L9"/>
    <mergeCell ref="H18:L21"/>
    <mergeCell ref="B5:F5"/>
    <mergeCell ref="B10:E10"/>
    <mergeCell ref="B22:E22"/>
    <mergeCell ref="B16:E16"/>
    <mergeCell ref="B28:E28"/>
    <mergeCell ref="B32:E32"/>
    <mergeCell ref="F42:I42"/>
    <mergeCell ref="F43:I43"/>
    <mergeCell ref="H24:L27"/>
    <mergeCell ref="H36:I36"/>
    <mergeCell ref="B35:I35"/>
    <mergeCell ref="B36:D36"/>
    <mergeCell ref="B49:E49"/>
    <mergeCell ref="B41:D41"/>
    <mergeCell ref="B42:D42"/>
    <mergeCell ref="B43:D43"/>
    <mergeCell ref="B37:D37"/>
    <mergeCell ref="B38:D38"/>
    <mergeCell ref="B39:D39"/>
    <mergeCell ref="B40:D40"/>
    <mergeCell ref="B45:F45"/>
    <mergeCell ref="B46:C46"/>
    <mergeCell ref="D46:E46"/>
    <mergeCell ref="B47:C47"/>
    <mergeCell ref="D47:E47"/>
    <mergeCell ref="E39:I39"/>
    <mergeCell ref="E40:I40"/>
    <mergeCell ref="E41:I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Daniela q</cp:lastModifiedBy>
  <cp:revision/>
  <dcterms:created xsi:type="dcterms:W3CDTF">2023-10-14T16:33:41Z</dcterms:created>
  <dcterms:modified xsi:type="dcterms:W3CDTF">2024-01-26T20:58:46Z</dcterms:modified>
  <cp:category/>
  <cp:contentStatus/>
</cp:coreProperties>
</file>