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omero\Downloads\"/>
    </mc:Choice>
  </mc:AlternateContent>
  <xr:revisionPtr revIDLastSave="0" documentId="13_ncr:1_{C597CC89-3D3C-479B-AD5B-7F32F93B96F3}" xr6:coauthVersionLast="47" xr6:coauthVersionMax="47" xr10:uidLastSave="{00000000-0000-0000-0000-000000000000}"/>
  <bookViews>
    <workbookView xWindow="-120" yWindow="-120" windowWidth="24240" windowHeight="13020" firstSheet="1" activeTab="1" xr2:uid="{69AAD36E-CAFA-43EB-832F-400E58192986}"/>
  </bookViews>
  <sheets>
    <sheet name="LIQ POLIZA" sheetId="5" r:id="rId1"/>
    <sheet name="LIQ PRETENSIONES" sheetId="10" r:id="rId2"/>
    <sheet name="SMMLV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0" l="1"/>
  <c r="Q20" i="10"/>
  <c r="N4" i="10"/>
  <c r="N6" i="10"/>
  <c r="N5" i="10"/>
  <c r="D7" i="10"/>
  <c r="Q21" i="10"/>
  <c r="O13" i="5"/>
  <c r="H30" i="10"/>
  <c r="H29" i="10"/>
  <c r="H28" i="10"/>
  <c r="H23" i="10"/>
  <c r="H22" i="10"/>
  <c r="H21" i="10"/>
  <c r="H15" i="10"/>
  <c r="H14" i="10"/>
  <c r="H13" i="10"/>
  <c r="H6" i="10"/>
  <c r="H5" i="10"/>
  <c r="H4" i="10"/>
  <c r="P6" i="10"/>
  <c r="P5" i="10"/>
  <c r="P4" i="10"/>
  <c r="M11" i="5"/>
  <c r="P7" i="5"/>
  <c r="P6" i="5"/>
  <c r="P5" i="5"/>
  <c r="P4" i="5"/>
  <c r="I24" i="5"/>
  <c r="I23" i="5"/>
  <c r="I22" i="5"/>
  <c r="I6" i="5"/>
  <c r="I5" i="5"/>
  <c r="I4" i="5"/>
  <c r="P7" i="10" l="1"/>
  <c r="J4" i="10"/>
  <c r="I13" i="10" s="1"/>
  <c r="J13" i="10" s="1"/>
  <c r="Q22" i="10"/>
  <c r="J23" i="10"/>
  <c r="J21" i="10"/>
  <c r="J5" i="10"/>
  <c r="I14" i="10" s="1"/>
  <c r="J14" i="10" s="1"/>
  <c r="J22" i="10"/>
  <c r="J6" i="10"/>
  <c r="I15" i="10" s="1"/>
  <c r="J15" i="10" s="1"/>
  <c r="J30" i="10"/>
  <c r="J29" i="10"/>
  <c r="J28" i="10"/>
  <c r="P8" i="5"/>
  <c r="J24" i="10" l="1"/>
  <c r="J7" i="10"/>
  <c r="J16" i="10"/>
  <c r="J31" i="10"/>
  <c r="P21" i="10"/>
  <c r="P20" i="10"/>
  <c r="P12" i="10" l="1"/>
  <c r="P14" i="10" s="1"/>
  <c r="M25" i="10"/>
  <c r="H25" i="5"/>
  <c r="J25" i="5" s="1"/>
  <c r="H24" i="5"/>
  <c r="J24" i="5" s="1"/>
  <c r="H23" i="5"/>
  <c r="J23" i="5" s="1"/>
  <c r="H22" i="5"/>
  <c r="J22" i="5" s="1"/>
  <c r="H16" i="5"/>
  <c r="H15" i="5"/>
  <c r="H14" i="5"/>
  <c r="H13" i="5"/>
  <c r="H7" i="5"/>
  <c r="J7" i="5" s="1"/>
  <c r="I16" i="5" s="1"/>
  <c r="H6" i="5"/>
  <c r="J6" i="5" s="1"/>
  <c r="I15" i="5" s="1"/>
  <c r="J15" i="5" s="1"/>
  <c r="H5" i="5"/>
  <c r="J5" i="5" s="1"/>
  <c r="H4" i="5"/>
  <c r="J4" i="5" s="1"/>
  <c r="O27" i="10" l="1"/>
  <c r="J16" i="5"/>
  <c r="I14" i="5"/>
  <c r="J14" i="5" s="1"/>
  <c r="I13" i="5"/>
  <c r="J13" i="5" s="1"/>
  <c r="J8" i="5"/>
  <c r="J26" i="5"/>
  <c r="J17" i="5" l="1"/>
  <c r="D7" i="5"/>
  <c r="E11" i="6" l="1"/>
  <c r="E12" i="6"/>
  <c r="E13" i="6"/>
  <c r="E10" i="6"/>
  <c r="E4" i="6"/>
  <c r="E5" i="6"/>
  <c r="E6" i="6"/>
  <c r="E7" i="6"/>
  <c r="E8" i="6"/>
  <c r="E9" i="6"/>
  <c r="E3" i="6"/>
</calcChain>
</file>

<file path=xl/sharedStrings.xml><?xml version="1.0" encoding="utf-8"?>
<sst xmlns="http://schemas.openxmlformats.org/spreadsheetml/2006/main" count="101" uniqueCount="45">
  <si>
    <t>SALARIOS PRETENDIDOS</t>
  </si>
  <si>
    <t>CALCULO CESANTÍAS PRETENDIDAS</t>
  </si>
  <si>
    <t>INDEMNIZACION ART. 64 C.S.T.</t>
  </si>
  <si>
    <t>AÑO</t>
  </si>
  <si>
    <t>MES</t>
  </si>
  <si>
    <t>VLR SALARIO</t>
  </si>
  <si>
    <t>FECHA INICIAL</t>
  </si>
  <si>
    <t>FECHA FINAL</t>
  </si>
  <si>
    <t>No. DÍAS</t>
  </si>
  <si>
    <t>VALOR CESANTIAS</t>
  </si>
  <si>
    <t>DESDE</t>
  </si>
  <si>
    <t>HASTA</t>
  </si>
  <si>
    <t>NO. DÍAS</t>
  </si>
  <si>
    <t>SANCIÓN</t>
  </si>
  <si>
    <t>VALOR INDEMNIZACIÓN</t>
  </si>
  <si>
    <t>JUNIO</t>
  </si>
  <si>
    <t>JULIO</t>
  </si>
  <si>
    <t>AGOSTO</t>
  </si>
  <si>
    <t>TOTAL PRETENDIDO</t>
  </si>
  <si>
    <t>TOTAL CESANTIAS PRETENDIDAS</t>
  </si>
  <si>
    <t>TOTAL INDEMNIZACIÓN ART. 64 C.S.T.</t>
  </si>
  <si>
    <t>CALCULO INTERESES CESANTÍAS PRETENDIDAS</t>
  </si>
  <si>
    <t>VALOR INT. CESANTIAS</t>
  </si>
  <si>
    <t>TOTAL LIQUIDACION OBJETIVA</t>
  </si>
  <si>
    <t>TOTAL INTERESES A LAS CESANTIAS PRETENDIDAS</t>
  </si>
  <si>
    <t>CALCULO PRIMAS DE SERVICIO PRETENDIDAS</t>
  </si>
  <si>
    <t>VALOR PRIMA</t>
  </si>
  <si>
    <t>TOTAL PRIMAS PRETENDIDAS</t>
  </si>
  <si>
    <t>INDEMNIZACION ART. 65 C.S.T.</t>
  </si>
  <si>
    <t>INDEMNIZACION ART. 99 LEY 50 DE 1990</t>
  </si>
  <si>
    <t>VALOR SALARIO</t>
  </si>
  <si>
    <t>SALARIO</t>
  </si>
  <si>
    <t>SALARIO DIARIO</t>
  </si>
  <si>
    <t>VALOR INDEMNIZACION</t>
  </si>
  <si>
    <t>VALOR SALARIO DIA</t>
  </si>
  <si>
    <t>TOTAL</t>
  </si>
  <si>
    <t>TOTAL LIQUIDACION PRETENSIONES</t>
  </si>
  <si>
    <t>CALCULO VACACIONES PRETENDIDAS</t>
  </si>
  <si>
    <t>VALOR VACACIONES</t>
  </si>
  <si>
    <t>TOTAL VACACIONES PRETENDIDAS</t>
  </si>
  <si>
    <t>SMMLV</t>
  </si>
  <si>
    <t>AUX TRANSPORTE</t>
  </si>
  <si>
    <t>SALARIO DEVENGADO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</si>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</sst>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&quot;$&quot;\ #,##0.00"/>
    <numFmt numFmtId="167" formatCode="_ &quot;$&quot;\ * #,##0_ ;_ &quot;$&quot;\ * \-#,##0_ ;_ &quot;$&quot;\ * &quot;-&quot;_ ;_ @_ "/>
    <numFmt numFmtId="168" formatCode="_ * #,##0_ ;_ * \-#,##0_ ;_ * &quot;-&quot;_ ;_ @_ "/>
    <numFmt numFmtId="169" formatCode="_ &quot;$&quot;\ * #,##0.00_ ;_ &quot;$&quot;\ * \-#,##0.00_ ;_ &quot;$&quot;\ * &quot;-&quot;??_ ;_ @_ "/>
    <numFmt numFmtId="170" formatCode="_-[$$-240A]\ * #,##0_-;\-[$$-240A]\ * #,##0_-;_-[$$-240A]\ * &quot;-&quot;??_-;_-@_-"/>
    <numFmt numFmtId="171" formatCode="&quot;$&quot;\ 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14" fontId="0" fillId="0" borderId="1" xfId="0" applyNumberForma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/>
    </xf>
    <xf numFmtId="165" fontId="0" fillId="0" borderId="1" xfId="0" applyNumberFormat="1" applyBorder="1"/>
    <xf numFmtId="165" fontId="2" fillId="0" borderId="1" xfId="0" applyNumberFormat="1" applyFont="1" applyBorder="1"/>
    <xf numFmtId="166" fontId="0" fillId="0" borderId="1" xfId="0" applyNumberFormat="1" applyBorder="1"/>
    <xf numFmtId="0" fontId="2" fillId="0" borderId="1" xfId="0" applyFont="1" applyBorder="1"/>
    <xf numFmtId="165" fontId="0" fillId="0" borderId="1" xfId="2" applyNumberFormat="1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1" fillId="0" borderId="1" xfId="2" applyNumberFormat="1" applyFont="1" applyBorder="1" applyAlignment="1">
      <alignment horizontal="right" vertical="center"/>
    </xf>
    <xf numFmtId="165" fontId="1" fillId="0" borderId="1" xfId="2" applyNumberFormat="1" applyFont="1" applyBorder="1" applyAlignment="1">
      <alignment horizontal="center" vertical="center"/>
    </xf>
    <xf numFmtId="170" fontId="1" fillId="0" borderId="1" xfId="2" applyNumberFormat="1" applyFont="1" applyBorder="1" applyAlignment="1">
      <alignment horizontal="center" vertical="center"/>
    </xf>
    <xf numFmtId="170" fontId="1" fillId="0" borderId="1" xfId="2" applyNumberFormat="1" applyFont="1" applyBorder="1"/>
    <xf numFmtId="2" fontId="0" fillId="0" borderId="0" xfId="0" applyNumberFormat="1"/>
    <xf numFmtId="164" fontId="0" fillId="0" borderId="0" xfId="1" applyNumberFormat="1" applyFont="1" applyBorder="1"/>
    <xf numFmtId="14" fontId="0" fillId="0" borderId="0" xfId="0" applyNumberFormat="1"/>
    <xf numFmtId="165" fontId="0" fillId="0" borderId="0" xfId="0" applyNumberFormat="1"/>
    <xf numFmtId="165" fontId="2" fillId="0" borderId="0" xfId="0" applyNumberFormat="1" applyFont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0" fillId="0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7">
    <cellStyle name="Millares" xfId="1" builtinId="3"/>
    <cellStyle name="Millares [0] 2" xfId="4" xr:uid="{3555D9B7-EA0C-4C21-A235-0CD6BE1EC253}"/>
    <cellStyle name="Moneda" xfId="2" builtinId="4"/>
    <cellStyle name="Moneda [0] 2" xfId="6" xr:uid="{40580231-C906-4C03-A65D-3EA45064320D}"/>
    <cellStyle name="Moneda 2" xfId="5" xr:uid="{60B0EB24-56E2-4FB9-B187-077D7FCBAA83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0E569-8665-4997-8F7A-ED4BBBF56485}">
  <dimension ref="B2:P26"/>
  <sheetViews>
    <sheetView topLeftCell="C1" workbookViewId="0">
      <selection activeCell="O3" sqref="O3"/>
    </sheetView>
  </sheetViews>
  <sheetFormatPr baseColWidth="10" defaultColWidth="11.42578125" defaultRowHeight="15" x14ac:dyDescent="0.25"/>
  <cols>
    <col min="4" max="4" width="13" bestFit="1" customWidth="1"/>
    <col min="6" max="6" width="13.5703125" bestFit="1" customWidth="1"/>
    <col min="7" max="7" width="12.28515625" bestFit="1" customWidth="1"/>
    <col min="9" max="9" width="17.28515625" bestFit="1" customWidth="1"/>
    <col min="10" max="10" width="21.42578125" bestFit="1" customWidth="1"/>
    <col min="16" max="16" width="22.7109375" bestFit="1" customWidth="1"/>
  </cols>
  <sheetData>
    <row r="2" spans="2:16" x14ac:dyDescent="0.25">
      <c r="B2" s="27" t="s">
        <v>0</v>
      </c>
      <c r="C2" s="28"/>
      <c r="D2" s="29"/>
      <c r="F2" s="23" t="s">
        <v>1</v>
      </c>
      <c r="G2" s="23"/>
      <c r="H2" s="23"/>
      <c r="I2" s="23"/>
      <c r="J2" s="23"/>
      <c r="L2" s="23" t="s">
        <v>2</v>
      </c>
      <c r="M2" s="23"/>
      <c r="N2" s="23"/>
      <c r="O2" s="23"/>
      <c r="P2" s="23"/>
    </row>
    <row r="3" spans="2:16" x14ac:dyDescent="0.25">
      <c r="B3" s="4" t="s">
        <v>3</v>
      </c>
      <c r="C3" s="4" t="s">
        <v>4</v>
      </c>
      <c r="D3" s="4" t="s">
        <v>5</v>
      </c>
      <c r="F3" s="8" t="s">
        <v>6</v>
      </c>
      <c r="G3" s="8" t="s">
        <v>7</v>
      </c>
      <c r="H3" s="8" t="s">
        <v>8</v>
      </c>
      <c r="I3" s="8" t="s">
        <v>5</v>
      </c>
      <c r="J3" s="8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</row>
    <row r="4" spans="2:16" x14ac:dyDescent="0.25">
      <c r="B4" s="1">
        <v>2020</v>
      </c>
      <c r="C4" s="1" t="s">
        <v>15</v>
      </c>
      <c r="D4" s="9">
        <v>2200000</v>
      </c>
      <c r="F4" s="2">
        <v>42941</v>
      </c>
      <c r="G4" s="2">
        <v>43100</v>
      </c>
      <c r="H4" s="22">
        <f>DAYS360(F4,G4)</f>
        <v>156</v>
      </c>
      <c r="I4" s="9">
        <f>SMMLV!E7</f>
        <v>820857</v>
      </c>
      <c r="J4" s="5">
        <f>I4*(H4/360)</f>
        <v>355704.7</v>
      </c>
      <c r="L4" s="2">
        <v>42941</v>
      </c>
      <c r="M4" s="2">
        <v>43305</v>
      </c>
      <c r="N4" s="3">
        <v>360</v>
      </c>
      <c r="O4" s="1">
        <v>30</v>
      </c>
      <c r="P4" s="5">
        <f>SMMLV!G3/30*O4</f>
        <v>2200000</v>
      </c>
    </row>
    <row r="5" spans="2:16" x14ac:dyDescent="0.25">
      <c r="B5" s="1">
        <v>2020</v>
      </c>
      <c r="C5" s="1" t="s">
        <v>16</v>
      </c>
      <c r="D5" s="9">
        <v>2200000</v>
      </c>
      <c r="F5" s="2">
        <v>43101</v>
      </c>
      <c r="G5" s="2">
        <v>43465</v>
      </c>
      <c r="H5" s="22">
        <f>DAYS360(F5,G5)</f>
        <v>360</v>
      </c>
      <c r="I5" s="9">
        <f>SMMLV!E8</f>
        <v>869453</v>
      </c>
      <c r="J5" s="5">
        <f t="shared" ref="J5:J7" si="0">I5*(H5/360)</f>
        <v>869453</v>
      </c>
      <c r="L5" s="2">
        <v>43306</v>
      </c>
      <c r="M5" s="2">
        <v>43670</v>
      </c>
      <c r="N5" s="3">
        <v>360</v>
      </c>
      <c r="O5" s="1">
        <v>20</v>
      </c>
      <c r="P5" s="5">
        <f>SMMLV!G3/30*O5</f>
        <v>1466666.6666666665</v>
      </c>
    </row>
    <row r="6" spans="2:16" x14ac:dyDescent="0.25">
      <c r="B6" s="1">
        <v>2020</v>
      </c>
      <c r="C6" s="1" t="s">
        <v>17</v>
      </c>
      <c r="D6" s="9">
        <v>2200000</v>
      </c>
      <c r="F6" s="2">
        <v>43466</v>
      </c>
      <c r="G6" s="2">
        <v>43830</v>
      </c>
      <c r="H6" s="22">
        <f>DAYS360(F6,G6)</f>
        <v>360</v>
      </c>
      <c r="I6" s="9">
        <f>SMMLV!E9</f>
        <v>925148</v>
      </c>
      <c r="J6" s="5">
        <f t="shared" si="0"/>
        <v>925148</v>
      </c>
      <c r="L6" s="2">
        <v>43671</v>
      </c>
      <c r="M6" s="2">
        <v>44036</v>
      </c>
      <c r="N6" s="3">
        <v>360</v>
      </c>
      <c r="O6" s="1">
        <v>20</v>
      </c>
      <c r="P6" s="5">
        <f>SMMLV!G3/30*O6</f>
        <v>1466666.6666666665</v>
      </c>
    </row>
    <row r="7" spans="2:16" x14ac:dyDescent="0.25">
      <c r="B7" s="24" t="s">
        <v>18</v>
      </c>
      <c r="C7" s="24"/>
      <c r="D7" s="6">
        <f>SUM(D4:D6)</f>
        <v>6600000</v>
      </c>
      <c r="F7" s="2">
        <v>43831</v>
      </c>
      <c r="G7" s="2">
        <v>44074</v>
      </c>
      <c r="H7" s="22">
        <f>DAYS360(F7,G7)</f>
        <v>240</v>
      </c>
      <c r="I7" s="9">
        <v>2200000</v>
      </c>
      <c r="J7" s="5">
        <f t="shared" si="0"/>
        <v>1466666.6666666665</v>
      </c>
      <c r="L7" s="2">
        <v>44037</v>
      </c>
      <c r="M7" s="2">
        <v>44074</v>
      </c>
      <c r="N7" s="3">
        <v>38</v>
      </c>
      <c r="O7" s="1">
        <v>2.11</v>
      </c>
      <c r="P7" s="5">
        <f>SMMLV!G3/30*O7</f>
        <v>154733.33333333331</v>
      </c>
    </row>
    <row r="8" spans="2:16" x14ac:dyDescent="0.25">
      <c r="F8" s="24" t="s">
        <v>19</v>
      </c>
      <c r="G8" s="24"/>
      <c r="H8" s="24"/>
      <c r="I8" s="24"/>
      <c r="J8" s="6">
        <f>SUM(J4:J7)</f>
        <v>3616972.3666666667</v>
      </c>
      <c r="L8" s="24" t="s">
        <v>20</v>
      </c>
      <c r="M8" s="24"/>
      <c r="N8" s="24"/>
      <c r="O8" s="24"/>
      <c r="P8" s="6">
        <f>SUM(P4:P7)</f>
        <v>5288066.666666666</v>
      </c>
    </row>
    <row r="10" spans="2:16" x14ac:dyDescent="0.25">
      <c r="L10">
        <v>360</v>
      </c>
      <c r="M10">
        <v>20</v>
      </c>
      <c r="N10" s="17"/>
      <c r="P10" s="19"/>
    </row>
    <row r="11" spans="2:16" x14ac:dyDescent="0.25">
      <c r="F11" s="23" t="s">
        <v>21</v>
      </c>
      <c r="G11" s="23"/>
      <c r="H11" s="23"/>
      <c r="I11" s="23"/>
      <c r="J11" s="23"/>
      <c r="L11">
        <v>38</v>
      </c>
      <c r="M11" s="16">
        <f>M10*L11/L10</f>
        <v>2.1111111111111112</v>
      </c>
      <c r="N11" s="17"/>
      <c r="P11" s="19"/>
    </row>
    <row r="12" spans="2:16" x14ac:dyDescent="0.25">
      <c r="F12" s="8" t="s">
        <v>6</v>
      </c>
      <c r="G12" s="8" t="s">
        <v>7</v>
      </c>
      <c r="H12" s="8" t="s">
        <v>8</v>
      </c>
      <c r="I12" s="8" t="s">
        <v>9</v>
      </c>
      <c r="J12" s="8" t="s">
        <v>22</v>
      </c>
      <c r="L12" s="21"/>
      <c r="M12" s="21"/>
      <c r="N12" s="21"/>
      <c r="O12" s="21"/>
      <c r="P12" s="20"/>
    </row>
    <row r="13" spans="2:16" x14ac:dyDescent="0.25">
      <c r="F13" s="2">
        <v>42941</v>
      </c>
      <c r="G13" s="2">
        <v>43100</v>
      </c>
      <c r="H13" s="22">
        <f>DAYS360(F13,G13)</f>
        <v>156</v>
      </c>
      <c r="I13" s="9">
        <f>J4</f>
        <v>355704.7</v>
      </c>
      <c r="J13" s="5">
        <f>I13*0.12*H13/360</f>
        <v>18496.644400000001</v>
      </c>
      <c r="L13" s="25" t="s">
        <v>23</v>
      </c>
      <c r="M13" s="25"/>
      <c r="N13" s="25"/>
      <c r="O13" s="26">
        <f>SUM(D7+J8+J17+J26+P8)</f>
        <v>19473193.497733332</v>
      </c>
      <c r="P13" s="24"/>
    </row>
    <row r="14" spans="2:16" x14ac:dyDescent="0.25">
      <c r="F14" s="2">
        <v>43101</v>
      </c>
      <c r="G14" s="2">
        <v>43465</v>
      </c>
      <c r="H14" s="22">
        <f>DAYS360(F14,G14)</f>
        <v>360</v>
      </c>
      <c r="I14" s="9">
        <f>J5</f>
        <v>869453</v>
      </c>
      <c r="J14" s="5">
        <f t="shared" ref="J14:J16" si="1">I14*0.12*H14/360</f>
        <v>104334.36</v>
      </c>
    </row>
    <row r="15" spans="2:16" x14ac:dyDescent="0.25">
      <c r="F15" s="2">
        <v>43466</v>
      </c>
      <c r="G15" s="2">
        <v>43830</v>
      </c>
      <c r="H15" s="22">
        <f>DAYS360(F15,G15)</f>
        <v>360</v>
      </c>
      <c r="I15" s="9">
        <f>J6</f>
        <v>925148</v>
      </c>
      <c r="J15" s="5">
        <f t="shared" si="1"/>
        <v>111017.76000000001</v>
      </c>
    </row>
    <row r="16" spans="2:16" x14ac:dyDescent="0.25">
      <c r="F16" s="2">
        <v>43831</v>
      </c>
      <c r="G16" s="2">
        <v>44074</v>
      </c>
      <c r="H16" s="22">
        <f>DAYS360(F16,G16)</f>
        <v>240</v>
      </c>
      <c r="I16" s="9">
        <f>J7</f>
        <v>1466666.6666666665</v>
      </c>
      <c r="J16" s="5">
        <f t="shared" si="1"/>
        <v>117333.33333333331</v>
      </c>
    </row>
    <row r="17" spans="6:10" x14ac:dyDescent="0.25">
      <c r="F17" s="24" t="s">
        <v>24</v>
      </c>
      <c r="G17" s="24"/>
      <c r="H17" s="24"/>
      <c r="I17" s="24"/>
      <c r="J17" s="6">
        <f>SUM(J13:J16)</f>
        <v>351182.09773333336</v>
      </c>
    </row>
    <row r="20" spans="6:10" x14ac:dyDescent="0.25">
      <c r="F20" s="23" t="s">
        <v>25</v>
      </c>
      <c r="G20" s="23"/>
      <c r="H20" s="23"/>
      <c r="I20" s="23"/>
      <c r="J20" s="23"/>
    </row>
    <row r="21" spans="6:10" x14ac:dyDescent="0.25">
      <c r="F21" s="8" t="s">
        <v>6</v>
      </c>
      <c r="G21" s="8" t="s">
        <v>7</v>
      </c>
      <c r="H21" s="8" t="s">
        <v>8</v>
      </c>
      <c r="I21" s="8" t="s">
        <v>5</v>
      </c>
      <c r="J21" s="4" t="s">
        <v>26</v>
      </c>
    </row>
    <row r="22" spans="6:10" x14ac:dyDescent="0.25">
      <c r="F22" s="2">
        <v>42941</v>
      </c>
      <c r="G22" s="2">
        <v>43100</v>
      </c>
      <c r="H22" s="22">
        <f>DAYS360(F22,G22)</f>
        <v>156</v>
      </c>
      <c r="I22" s="9">
        <f>SMMLV!E7</f>
        <v>820857</v>
      </c>
      <c r="J22" s="5">
        <f>I22*(H22/360)</f>
        <v>355704.7</v>
      </c>
    </row>
    <row r="23" spans="6:10" x14ac:dyDescent="0.25">
      <c r="F23" s="2">
        <v>43101</v>
      </c>
      <c r="G23" s="2">
        <v>43465</v>
      </c>
      <c r="H23" s="22">
        <f>DAYS360(F23,G23)</f>
        <v>360</v>
      </c>
      <c r="I23" s="9">
        <f>SMMLV!E8</f>
        <v>869453</v>
      </c>
      <c r="J23" s="5">
        <f>I23*(H23/360)</f>
        <v>869453</v>
      </c>
    </row>
    <row r="24" spans="6:10" x14ac:dyDescent="0.25">
      <c r="F24" s="2">
        <v>43466</v>
      </c>
      <c r="G24" s="2">
        <v>43830</v>
      </c>
      <c r="H24" s="22">
        <f>DAYS360(F24,G24)</f>
        <v>360</v>
      </c>
      <c r="I24" s="9">
        <f>SMMLV!E9</f>
        <v>925148</v>
      </c>
      <c r="J24" s="5">
        <f t="shared" ref="J24:J25" si="2">I24*(H24/360)</f>
        <v>925148</v>
      </c>
    </row>
    <row r="25" spans="6:10" x14ac:dyDescent="0.25">
      <c r="F25" s="2">
        <v>43831</v>
      </c>
      <c r="G25" s="2">
        <v>44074</v>
      </c>
      <c r="H25" s="22">
        <f>DAYS360(F25,G25)</f>
        <v>240</v>
      </c>
      <c r="I25" s="9">
        <v>2200000</v>
      </c>
      <c r="J25" s="5">
        <f t="shared" si="2"/>
        <v>1466666.6666666665</v>
      </c>
    </row>
    <row r="26" spans="6:10" x14ac:dyDescent="0.25">
      <c r="F26" s="24" t="s">
        <v>27</v>
      </c>
      <c r="G26" s="24"/>
      <c r="H26" s="24"/>
      <c r="I26" s="24"/>
      <c r="J26" s="6">
        <f>SUM(J22:J25)</f>
        <v>3616972.3666666667</v>
      </c>
    </row>
  </sheetData>
  <mergeCells count="12">
    <mergeCell ref="F20:J20"/>
    <mergeCell ref="F26:I26"/>
    <mergeCell ref="B2:D2"/>
    <mergeCell ref="B7:C7"/>
    <mergeCell ref="F2:J2"/>
    <mergeCell ref="F8:I8"/>
    <mergeCell ref="F11:J11"/>
    <mergeCell ref="L2:P2"/>
    <mergeCell ref="L8:O8"/>
    <mergeCell ref="L13:N13"/>
    <mergeCell ref="O13:P13"/>
    <mergeCell ref="F17:I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59CC-80A3-46FE-AADB-EF5FED6064B5}">
  <dimension ref="B1:R31"/>
  <sheetViews>
    <sheetView tabSelected="1" topLeftCell="A4" workbookViewId="0">
      <selection activeCell="Q31" sqref="B2:Q31"/>
    </sheetView>
  </sheetViews>
  <sheetFormatPr baseColWidth="10" defaultColWidth="11.42578125" defaultRowHeight="15" x14ac:dyDescent="0.25"/>
  <cols>
    <col min="4" max="4" width="12.28515625" bestFit="1" customWidth="1"/>
    <col min="6" max="6" width="13.5703125" bestFit="1" customWidth="1"/>
    <col min="7" max="7" width="12.28515625" bestFit="1" customWidth="1"/>
    <col min="9" max="9" width="17.28515625" bestFit="1" customWidth="1"/>
    <col min="10" max="10" width="21.42578125" bestFit="1" customWidth="1"/>
    <col min="14" max="14" width="10.85546875" customWidth="1"/>
    <col min="15" max="15" width="12.28515625" customWidth="1"/>
    <col min="16" max="16" width="21.7109375" customWidth="1"/>
    <col min="17" max="17" width="21.5703125" customWidth="1"/>
    <col min="18" max="18" width="16.42578125" customWidth="1"/>
    <col min="21" max="21" width="22.7109375" bestFit="1" customWidth="1"/>
    <col min="26" max="26" width="13.140625" bestFit="1" customWidth="1"/>
    <col min="27" max="27" width="15.28515625" bestFit="1" customWidth="1"/>
    <col min="28" max="28" width="22.7109375" bestFit="1" customWidth="1"/>
  </cols>
  <sheetData>
    <row r="1" spans="2:18" x14ac:dyDescent="0.25">
      <c r="B1" s="38"/>
      <c r="C1" s="38"/>
      <c r="D1" s="38"/>
      <c r="E1" s="38"/>
      <c r="F1" s="38"/>
      <c r="G1" s="38"/>
      <c r="H1" s="38"/>
      <c r="I1" s="38"/>
      <c r="J1" s="38"/>
    </row>
    <row r="2" spans="2:18" x14ac:dyDescent="0.25">
      <c r="B2" s="41" t="s">
        <v>0</v>
      </c>
      <c r="C2" s="42"/>
      <c r="D2" s="43"/>
      <c r="E2" s="38"/>
      <c r="F2" s="36" t="s">
        <v>1</v>
      </c>
      <c r="G2" s="36"/>
      <c r="H2" s="36"/>
      <c r="I2" s="36"/>
      <c r="J2" s="36"/>
      <c r="L2" s="36" t="s">
        <v>2</v>
      </c>
      <c r="M2" s="36"/>
      <c r="N2" s="36"/>
      <c r="O2" s="36"/>
      <c r="P2" s="36"/>
    </row>
    <row r="3" spans="2:18" x14ac:dyDescent="0.25">
      <c r="B3" s="10" t="s">
        <v>3</v>
      </c>
      <c r="C3" s="10" t="s">
        <v>4</v>
      </c>
      <c r="D3" s="10" t="s">
        <v>5</v>
      </c>
      <c r="E3" s="38"/>
      <c r="F3" s="10" t="s">
        <v>6</v>
      </c>
      <c r="G3" s="10" t="s">
        <v>7</v>
      </c>
      <c r="H3" s="10" t="s">
        <v>8</v>
      </c>
      <c r="I3" s="10" t="s">
        <v>5</v>
      </c>
      <c r="J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2:18" x14ac:dyDescent="0.25">
      <c r="B4" s="11">
        <v>2020</v>
      </c>
      <c r="C4" s="11" t="s">
        <v>17</v>
      </c>
      <c r="D4" s="30">
        <v>1700000</v>
      </c>
      <c r="E4" s="38"/>
      <c r="F4" s="33">
        <v>44053</v>
      </c>
      <c r="G4" s="33">
        <v>44196</v>
      </c>
      <c r="H4" s="22">
        <f>DAYS360(F4,G4)</f>
        <v>141</v>
      </c>
      <c r="I4" s="30">
        <v>1700000</v>
      </c>
      <c r="J4" s="35">
        <f>I4*(H4/360)</f>
        <v>665833.33333333337</v>
      </c>
      <c r="L4" s="33">
        <v>44053</v>
      </c>
      <c r="M4" s="33">
        <v>44418</v>
      </c>
      <c r="N4" s="34">
        <f>DAYS360(L4,M4)</f>
        <v>360</v>
      </c>
      <c r="O4" s="11">
        <v>30</v>
      </c>
      <c r="P4" s="35">
        <f>SMMLV!G3/30*O4</f>
        <v>2200000</v>
      </c>
    </row>
    <row r="5" spans="2:18" x14ac:dyDescent="0.25">
      <c r="B5" s="11">
        <v>2020</v>
      </c>
      <c r="C5" s="11" t="s">
        <v>43</v>
      </c>
      <c r="D5" s="30">
        <v>1700000</v>
      </c>
      <c r="E5" s="38"/>
      <c r="F5" s="33">
        <v>44197</v>
      </c>
      <c r="G5" s="33">
        <v>44561</v>
      </c>
      <c r="H5" s="22">
        <f>DAYS360(F5,G5)</f>
        <v>360</v>
      </c>
      <c r="I5" s="30">
        <v>1700000</v>
      </c>
      <c r="J5" s="35">
        <f t="shared" ref="J5:J6" si="0">I5*(H5/360)</f>
        <v>1700000</v>
      </c>
      <c r="L5" s="33">
        <v>44419</v>
      </c>
      <c r="M5" s="33">
        <v>44783</v>
      </c>
      <c r="N5" s="34">
        <f>DAYS360(L5,M5)</f>
        <v>359</v>
      </c>
      <c r="O5" s="11">
        <v>20</v>
      </c>
      <c r="P5" s="35">
        <f>SMMLV!G3/30*O5</f>
        <v>1466666.6666666665</v>
      </c>
    </row>
    <row r="6" spans="2:18" x14ac:dyDescent="0.25">
      <c r="B6" s="11">
        <v>2020</v>
      </c>
      <c r="C6" s="11" t="s">
        <v>44</v>
      </c>
      <c r="D6" s="30">
        <v>1700000</v>
      </c>
      <c r="E6" s="38"/>
      <c r="F6" s="33">
        <v>44562</v>
      </c>
      <c r="G6" s="33">
        <v>44840</v>
      </c>
      <c r="H6" s="22">
        <f>DAYS360(F6,G6)</f>
        <v>275</v>
      </c>
      <c r="I6" s="30">
        <v>1700000</v>
      </c>
      <c r="J6" s="35">
        <f t="shared" si="0"/>
        <v>1298611.111111111</v>
      </c>
      <c r="L6" s="33">
        <v>44784</v>
      </c>
      <c r="M6" s="33">
        <v>44840</v>
      </c>
      <c r="N6" s="34">
        <f>DAYS360(L6,M6)</f>
        <v>55</v>
      </c>
      <c r="O6" s="11">
        <v>3.06</v>
      </c>
      <c r="P6" s="35">
        <f>SMMLV!G3/30*O6</f>
        <v>224400</v>
      </c>
    </row>
    <row r="7" spans="2:18" x14ac:dyDescent="0.25">
      <c r="B7" s="31" t="s">
        <v>18</v>
      </c>
      <c r="C7" s="31"/>
      <c r="D7" s="32">
        <f>SUM(D4:D6)</f>
        <v>5100000</v>
      </c>
      <c r="E7" s="38"/>
      <c r="F7" s="31" t="s">
        <v>19</v>
      </c>
      <c r="G7" s="31"/>
      <c r="H7" s="31"/>
      <c r="I7" s="31"/>
      <c r="J7" s="32">
        <f>SUM(J4:J6)</f>
        <v>3664444.4444444445</v>
      </c>
      <c r="L7" s="31" t="s">
        <v>20</v>
      </c>
      <c r="M7" s="31"/>
      <c r="N7" s="31"/>
      <c r="O7" s="31"/>
      <c r="P7" s="32">
        <f>SUM(P4:P6)</f>
        <v>3891066.6666666665</v>
      </c>
    </row>
    <row r="8" spans="2:18" x14ac:dyDescent="0.25">
      <c r="B8" s="38"/>
      <c r="C8" s="38"/>
      <c r="D8" s="38"/>
      <c r="E8" s="38"/>
      <c r="F8" s="38"/>
      <c r="G8" s="38"/>
      <c r="H8" s="38"/>
      <c r="I8" s="38"/>
      <c r="J8" s="38"/>
      <c r="L8" s="18"/>
      <c r="M8" s="18"/>
      <c r="N8" s="17"/>
      <c r="P8" s="19"/>
      <c r="R8" s="19"/>
    </row>
    <row r="9" spans="2:18" x14ac:dyDescent="0.25">
      <c r="B9" s="38"/>
      <c r="C9" s="38"/>
      <c r="D9" s="38"/>
      <c r="E9" s="38"/>
      <c r="F9" s="38"/>
      <c r="G9" s="38"/>
      <c r="H9" s="38"/>
      <c r="I9" s="38"/>
      <c r="J9" s="38"/>
    </row>
    <row r="10" spans="2:18" x14ac:dyDescent="0.25">
      <c r="B10" s="38"/>
      <c r="C10" s="38"/>
      <c r="D10" s="38"/>
      <c r="E10" s="38"/>
      <c r="F10" s="38"/>
      <c r="G10" s="38"/>
      <c r="H10" s="38"/>
      <c r="I10" s="38"/>
      <c r="J10" s="38"/>
      <c r="M10" s="36" t="s">
        <v>28</v>
      </c>
      <c r="N10" s="36"/>
      <c r="O10" s="36"/>
      <c r="P10" s="36"/>
    </row>
    <row r="11" spans="2:18" x14ac:dyDescent="0.25">
      <c r="B11" s="38"/>
      <c r="C11" s="38"/>
      <c r="D11" s="38"/>
      <c r="E11" s="38"/>
      <c r="F11" s="36" t="s">
        <v>21</v>
      </c>
      <c r="G11" s="36"/>
      <c r="H11" s="36"/>
      <c r="I11" s="36"/>
      <c r="J11" s="36"/>
      <c r="M11" s="40" t="s">
        <v>30</v>
      </c>
      <c r="N11" s="40"/>
      <c r="O11" s="40"/>
      <c r="P11" s="30">
        <v>1700000</v>
      </c>
    </row>
    <row r="12" spans="2:18" x14ac:dyDescent="0.25">
      <c r="B12" s="38"/>
      <c r="C12" s="38"/>
      <c r="D12" s="38"/>
      <c r="E12" s="38"/>
      <c r="F12" s="10" t="s">
        <v>6</v>
      </c>
      <c r="G12" s="10" t="s">
        <v>7</v>
      </c>
      <c r="H12" s="10" t="s">
        <v>8</v>
      </c>
      <c r="I12" s="10" t="s">
        <v>9</v>
      </c>
      <c r="J12" s="10" t="s">
        <v>22</v>
      </c>
      <c r="M12" s="40" t="s">
        <v>34</v>
      </c>
      <c r="N12" s="40"/>
      <c r="O12" s="40"/>
      <c r="P12" s="30">
        <f>P11/30</f>
        <v>56666.666666666664</v>
      </c>
    </row>
    <row r="13" spans="2:18" x14ac:dyDescent="0.25">
      <c r="B13" s="38"/>
      <c r="C13" s="38"/>
      <c r="D13" s="38"/>
      <c r="E13" s="38"/>
      <c r="F13" s="33">
        <v>44053</v>
      </c>
      <c r="G13" s="33">
        <v>44196</v>
      </c>
      <c r="H13" s="22">
        <f>DAYS360(F13,G13)</f>
        <v>141</v>
      </c>
      <c r="I13" s="30">
        <f>J4</f>
        <v>665833.33333333337</v>
      </c>
      <c r="J13" s="35">
        <f>I13*0.12*H13/360</f>
        <v>31294.166666666668</v>
      </c>
      <c r="M13" s="10" t="s">
        <v>10</v>
      </c>
      <c r="N13" s="10" t="s">
        <v>11</v>
      </c>
      <c r="O13" s="10" t="s">
        <v>12</v>
      </c>
      <c r="P13" s="10" t="s">
        <v>14</v>
      </c>
    </row>
    <row r="14" spans="2:18" x14ac:dyDescent="0.25">
      <c r="B14" s="38"/>
      <c r="C14" s="38"/>
      <c r="D14" s="38"/>
      <c r="E14" s="38"/>
      <c r="F14" s="33">
        <v>44197</v>
      </c>
      <c r="G14" s="33">
        <v>44561</v>
      </c>
      <c r="H14" s="22">
        <f>DAYS360(F14,G14)</f>
        <v>360</v>
      </c>
      <c r="I14" s="30">
        <f>J5</f>
        <v>1700000</v>
      </c>
      <c r="J14" s="35">
        <f t="shared" ref="J14:J15" si="1">I14*0.12*H14/360</f>
        <v>204000</v>
      </c>
      <c r="M14" s="33">
        <v>44841</v>
      </c>
      <c r="N14" s="33">
        <v>45162</v>
      </c>
      <c r="O14" s="11">
        <f>DAYS360(M14,N14)</f>
        <v>317</v>
      </c>
      <c r="P14" s="32">
        <f>$P$12*$O$14</f>
        <v>17963333.333333332</v>
      </c>
    </row>
    <row r="15" spans="2:18" x14ac:dyDescent="0.25">
      <c r="B15" s="38"/>
      <c r="C15" s="38"/>
      <c r="D15" s="38"/>
      <c r="E15" s="38"/>
      <c r="F15" s="33">
        <v>44562</v>
      </c>
      <c r="G15" s="33">
        <v>44840</v>
      </c>
      <c r="H15" s="22">
        <f>DAYS360(F15,G15)</f>
        <v>275</v>
      </c>
      <c r="I15" s="30">
        <f>J6</f>
        <v>1298611.111111111</v>
      </c>
      <c r="J15" s="35">
        <f t="shared" si="1"/>
        <v>119039.35185185184</v>
      </c>
    </row>
    <row r="16" spans="2:18" x14ac:dyDescent="0.25">
      <c r="B16" s="38"/>
      <c r="C16" s="38"/>
      <c r="D16" s="38"/>
      <c r="E16" s="38"/>
      <c r="F16" s="31" t="s">
        <v>24</v>
      </c>
      <c r="G16" s="31"/>
      <c r="H16" s="31"/>
      <c r="I16" s="31"/>
      <c r="J16" s="32">
        <f>SUM(J13:J15)</f>
        <v>354333.51851851848</v>
      </c>
    </row>
    <row r="17" spans="2:17" x14ac:dyDescent="0.25">
      <c r="B17" s="38"/>
      <c r="C17" s="38"/>
      <c r="D17" s="38"/>
      <c r="E17" s="38"/>
      <c r="F17" s="38"/>
      <c r="G17" s="38"/>
      <c r="H17" s="38"/>
      <c r="I17" s="38"/>
      <c r="J17" s="38"/>
    </row>
    <row r="18" spans="2:17" x14ac:dyDescent="0.25">
      <c r="B18" s="38"/>
      <c r="C18" s="38"/>
      <c r="D18" s="38"/>
      <c r="E18" s="38"/>
      <c r="F18" s="38"/>
      <c r="G18" s="38"/>
      <c r="H18" s="38"/>
      <c r="I18" s="38"/>
      <c r="J18" s="38"/>
      <c r="L18" s="36" t="s">
        <v>29</v>
      </c>
      <c r="M18" s="36"/>
      <c r="N18" s="36"/>
      <c r="O18" s="36"/>
      <c r="P18" s="36"/>
      <c r="Q18" s="36"/>
    </row>
    <row r="19" spans="2:17" x14ac:dyDescent="0.25">
      <c r="B19" s="38"/>
      <c r="C19" s="38"/>
      <c r="D19" s="38"/>
      <c r="E19" s="38"/>
      <c r="F19" s="36" t="s">
        <v>25</v>
      </c>
      <c r="G19" s="36"/>
      <c r="H19" s="36"/>
      <c r="I19" s="36"/>
      <c r="J19" s="36"/>
      <c r="L19" s="10" t="s">
        <v>10</v>
      </c>
      <c r="M19" s="10" t="s">
        <v>11</v>
      </c>
      <c r="N19" s="10" t="s">
        <v>12</v>
      </c>
      <c r="O19" s="10" t="s">
        <v>31</v>
      </c>
      <c r="P19" s="10" t="s">
        <v>32</v>
      </c>
      <c r="Q19" s="10" t="s">
        <v>33</v>
      </c>
    </row>
    <row r="20" spans="2:17" x14ac:dyDescent="0.25">
      <c r="B20" s="38"/>
      <c r="C20" s="38"/>
      <c r="D20" s="38"/>
      <c r="E20" s="38"/>
      <c r="F20" s="10" t="s">
        <v>6</v>
      </c>
      <c r="G20" s="10" t="s">
        <v>7</v>
      </c>
      <c r="H20" s="10" t="s">
        <v>8</v>
      </c>
      <c r="I20" s="10" t="s">
        <v>5</v>
      </c>
      <c r="J20" s="10" t="s">
        <v>26</v>
      </c>
      <c r="L20" s="33">
        <v>44242</v>
      </c>
      <c r="M20" s="33">
        <v>44606</v>
      </c>
      <c r="N20" s="22">
        <v>360</v>
      </c>
      <c r="O20" s="30">
        <v>1700000</v>
      </c>
      <c r="P20" s="37">
        <f>O20/30</f>
        <v>56666.666666666664</v>
      </c>
      <c r="Q20" s="37">
        <f>O20/30*N20</f>
        <v>20400000</v>
      </c>
    </row>
    <row r="21" spans="2:17" x14ac:dyDescent="0.25">
      <c r="B21" s="38"/>
      <c r="C21" s="38"/>
      <c r="D21" s="38"/>
      <c r="E21" s="38"/>
      <c r="F21" s="33">
        <v>44053</v>
      </c>
      <c r="G21" s="33">
        <v>44196</v>
      </c>
      <c r="H21" s="22">
        <f>DAYS360(F21,G21)</f>
        <v>141</v>
      </c>
      <c r="I21" s="30">
        <v>1700000</v>
      </c>
      <c r="J21" s="35">
        <f>I21*(H21/360)</f>
        <v>665833.33333333337</v>
      </c>
      <c r="L21" s="33">
        <v>44972</v>
      </c>
      <c r="M21" s="33">
        <v>45162</v>
      </c>
      <c r="N21" s="22">
        <v>360</v>
      </c>
      <c r="O21" s="30">
        <v>1700000</v>
      </c>
      <c r="P21" s="37">
        <f>O21/30</f>
        <v>56666.666666666664</v>
      </c>
      <c r="Q21" s="37">
        <f>O21/30*N21</f>
        <v>20400000</v>
      </c>
    </row>
    <row r="22" spans="2:17" x14ac:dyDescent="0.25">
      <c r="B22" s="38"/>
      <c r="C22" s="38"/>
      <c r="D22" s="38"/>
      <c r="E22" s="38"/>
      <c r="F22" s="33">
        <v>44197</v>
      </c>
      <c r="G22" s="33">
        <v>44561</v>
      </c>
      <c r="H22" s="22">
        <f>DAYS360(F22,G22)</f>
        <v>360</v>
      </c>
      <c r="I22" s="30">
        <v>1700000</v>
      </c>
      <c r="J22" s="35">
        <f>I22*(H22/360)</f>
        <v>1700000</v>
      </c>
      <c r="L22" s="38"/>
      <c r="M22" s="38"/>
      <c r="N22" s="38"/>
      <c r="O22" s="38"/>
      <c r="P22" s="10" t="s">
        <v>35</v>
      </c>
      <c r="Q22" s="39">
        <f>SUM(Q20:Q21)</f>
        <v>40800000</v>
      </c>
    </row>
    <row r="23" spans="2:17" x14ac:dyDescent="0.25">
      <c r="B23" s="38"/>
      <c r="C23" s="38"/>
      <c r="D23" s="38"/>
      <c r="E23" s="38"/>
      <c r="F23" s="33">
        <v>44562</v>
      </c>
      <c r="G23" s="33">
        <v>44840</v>
      </c>
      <c r="H23" s="22">
        <f>DAYS360(F23,G23)</f>
        <v>275</v>
      </c>
      <c r="I23" s="30">
        <v>1700000</v>
      </c>
      <c r="J23" s="35">
        <f t="shared" ref="J23" si="2">I23*(H23/360)</f>
        <v>1298611.111111111</v>
      </c>
    </row>
    <row r="24" spans="2:17" x14ac:dyDescent="0.25">
      <c r="B24" s="38"/>
      <c r="C24" s="38"/>
      <c r="D24" s="38"/>
      <c r="E24" s="38"/>
      <c r="F24" s="31" t="s">
        <v>27</v>
      </c>
      <c r="G24" s="31"/>
      <c r="H24" s="31"/>
      <c r="I24" s="31"/>
      <c r="J24" s="32">
        <f>SUM(J21:J23)</f>
        <v>3664444.4444444445</v>
      </c>
      <c r="L24">
        <v>360</v>
      </c>
      <c r="M24">
        <v>20</v>
      </c>
      <c r="N24" s="17"/>
      <c r="P24" s="19"/>
    </row>
    <row r="25" spans="2:17" x14ac:dyDescent="0.25">
      <c r="B25" s="38"/>
      <c r="C25" s="38"/>
      <c r="D25" s="38"/>
      <c r="E25" s="38"/>
      <c r="F25" s="38"/>
      <c r="G25" s="38"/>
      <c r="H25" s="38"/>
      <c r="I25" s="38"/>
      <c r="J25" s="38"/>
      <c r="L25">
        <v>55</v>
      </c>
      <c r="M25" s="16">
        <f>M24*L25/L24</f>
        <v>3.0555555555555554</v>
      </c>
      <c r="N25" s="17"/>
      <c r="P25" s="19"/>
    </row>
    <row r="26" spans="2:17" x14ac:dyDescent="0.25">
      <c r="B26" s="38"/>
      <c r="C26" s="38"/>
      <c r="D26" s="38"/>
      <c r="E26" s="38"/>
      <c r="F26" s="36" t="s">
        <v>37</v>
      </c>
      <c r="G26" s="36"/>
      <c r="H26" s="36"/>
      <c r="I26" s="36"/>
      <c r="J26" s="36"/>
    </row>
    <row r="27" spans="2:17" x14ac:dyDescent="0.25">
      <c r="B27" s="38"/>
      <c r="C27" s="38"/>
      <c r="D27" s="38"/>
      <c r="E27" s="38"/>
      <c r="F27" s="10" t="s">
        <v>6</v>
      </c>
      <c r="G27" s="10" t="s">
        <v>7</v>
      </c>
      <c r="H27" s="10" t="s">
        <v>8</v>
      </c>
      <c r="I27" s="10" t="s">
        <v>5</v>
      </c>
      <c r="J27" s="10" t="s">
        <v>38</v>
      </c>
      <c r="L27" s="25" t="s">
        <v>36</v>
      </c>
      <c r="M27" s="25"/>
      <c r="N27" s="25"/>
      <c r="O27" s="26">
        <f>SUM(D7+J7+J16+J24+J31+P7+P14+Q22)</f>
        <v>77269844.629629627</v>
      </c>
      <c r="P27" s="24"/>
    </row>
    <row r="28" spans="2:17" x14ac:dyDescent="0.25">
      <c r="B28" s="38"/>
      <c r="C28" s="38"/>
      <c r="D28" s="38"/>
      <c r="E28" s="38"/>
      <c r="F28" s="33">
        <v>44053</v>
      </c>
      <c r="G28" s="33">
        <v>44196</v>
      </c>
      <c r="H28" s="22">
        <f>DAYS360(F28,G28)</f>
        <v>141</v>
      </c>
      <c r="I28" s="30">
        <v>1700000</v>
      </c>
      <c r="J28" s="35">
        <f>I28*(H28/720)</f>
        <v>332916.66666666669</v>
      </c>
    </row>
    <row r="29" spans="2:17" x14ac:dyDescent="0.25">
      <c r="B29" s="38"/>
      <c r="C29" s="38"/>
      <c r="D29" s="38"/>
      <c r="E29" s="38"/>
      <c r="F29" s="33">
        <v>44197</v>
      </c>
      <c r="G29" s="33">
        <v>44561</v>
      </c>
      <c r="H29" s="22">
        <f>DAYS360(F29,G29)</f>
        <v>360</v>
      </c>
      <c r="I29" s="30">
        <v>1700000</v>
      </c>
      <c r="J29" s="35">
        <f t="shared" ref="J29:J30" si="3">I29*(H29/720)</f>
        <v>850000</v>
      </c>
    </row>
    <row r="30" spans="2:17" x14ac:dyDescent="0.25">
      <c r="B30" s="38"/>
      <c r="C30" s="38"/>
      <c r="D30" s="38"/>
      <c r="E30" s="38"/>
      <c r="F30" s="33">
        <v>44562</v>
      </c>
      <c r="G30" s="33">
        <v>44840</v>
      </c>
      <c r="H30" s="22">
        <f>DAYS360(F30,G30)</f>
        <v>275</v>
      </c>
      <c r="I30" s="30">
        <v>1700000</v>
      </c>
      <c r="J30" s="35">
        <f t="shared" si="3"/>
        <v>649305.5555555555</v>
      </c>
    </row>
    <row r="31" spans="2:17" x14ac:dyDescent="0.25">
      <c r="B31" s="38"/>
      <c r="C31" s="38"/>
      <c r="D31" s="38"/>
      <c r="E31" s="38"/>
      <c r="F31" s="44" t="s">
        <v>39</v>
      </c>
      <c r="G31" s="45"/>
      <c r="H31" s="45"/>
      <c r="I31" s="46"/>
      <c r="J31" s="32">
        <f>SUM(J28:J30)</f>
        <v>1832222.2222222222</v>
      </c>
    </row>
  </sheetData>
  <mergeCells count="18">
    <mergeCell ref="B2:D2"/>
    <mergeCell ref="B7:C7"/>
    <mergeCell ref="F2:J2"/>
    <mergeCell ref="F7:I7"/>
    <mergeCell ref="F11:J11"/>
    <mergeCell ref="L18:Q18"/>
    <mergeCell ref="L7:O7"/>
    <mergeCell ref="F26:J26"/>
    <mergeCell ref="F19:J19"/>
    <mergeCell ref="F24:I24"/>
    <mergeCell ref="L2:P2"/>
    <mergeCell ref="F16:I16"/>
    <mergeCell ref="F31:I31"/>
    <mergeCell ref="L27:N27"/>
    <mergeCell ref="O27:P27"/>
    <mergeCell ref="M10:P10"/>
    <mergeCell ref="M11:O11"/>
    <mergeCell ref="M12:O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55954-C625-47B2-A149-C9BF17B4BEF5}">
  <dimension ref="B2:G13"/>
  <sheetViews>
    <sheetView workbookViewId="0">
      <selection activeCell="G3" sqref="G3"/>
    </sheetView>
  </sheetViews>
  <sheetFormatPr baseColWidth="10" defaultColWidth="11.42578125" defaultRowHeight="15" x14ac:dyDescent="0.25"/>
  <cols>
    <col min="2" max="2" width="5.140625" bestFit="1" customWidth="1"/>
    <col min="3" max="3" width="13" bestFit="1" customWidth="1"/>
    <col min="4" max="4" width="16.85546875" bestFit="1" customWidth="1"/>
    <col min="5" max="5" width="12" bestFit="1" customWidth="1"/>
    <col min="7" max="7" width="20.5703125" bestFit="1" customWidth="1"/>
  </cols>
  <sheetData>
    <row r="2" spans="2:7" x14ac:dyDescent="0.25">
      <c r="B2" s="10" t="s">
        <v>3</v>
      </c>
      <c r="C2" s="10" t="s">
        <v>40</v>
      </c>
      <c r="D2" s="10" t="s">
        <v>41</v>
      </c>
      <c r="E2" s="10" t="s">
        <v>35</v>
      </c>
      <c r="G2" s="10" t="s">
        <v>42</v>
      </c>
    </row>
    <row r="3" spans="2:7" x14ac:dyDescent="0.25">
      <c r="B3" s="11">
        <v>2013</v>
      </c>
      <c r="C3" s="12">
        <v>589500</v>
      </c>
      <c r="D3" s="13">
        <v>70500</v>
      </c>
      <c r="E3" s="5">
        <f>C3+D3</f>
        <v>660000</v>
      </c>
      <c r="G3" s="7">
        <v>2200000</v>
      </c>
    </row>
    <row r="4" spans="2:7" x14ac:dyDescent="0.25">
      <c r="B4" s="1">
        <v>2014</v>
      </c>
      <c r="C4" s="14">
        <v>616000</v>
      </c>
      <c r="D4" s="14">
        <v>72000</v>
      </c>
      <c r="E4" s="5">
        <f t="shared" ref="E4:E13" si="0">C4+D4</f>
        <v>688000</v>
      </c>
    </row>
    <row r="5" spans="2:7" x14ac:dyDescent="0.25">
      <c r="B5" s="1">
        <v>2015</v>
      </c>
      <c r="C5" s="14">
        <v>644350</v>
      </c>
      <c r="D5" s="14">
        <v>74000</v>
      </c>
      <c r="E5" s="5">
        <f t="shared" si="0"/>
        <v>718350</v>
      </c>
    </row>
    <row r="6" spans="2:7" x14ac:dyDescent="0.25">
      <c r="B6" s="1">
        <v>2016</v>
      </c>
      <c r="C6" s="14">
        <v>689455</v>
      </c>
      <c r="D6" s="14">
        <v>77700</v>
      </c>
      <c r="E6" s="5">
        <f t="shared" si="0"/>
        <v>767155</v>
      </c>
    </row>
    <row r="7" spans="2:7" x14ac:dyDescent="0.25">
      <c r="B7" s="1">
        <v>2017</v>
      </c>
      <c r="C7" s="14">
        <v>737717</v>
      </c>
      <c r="D7" s="14">
        <v>83140</v>
      </c>
      <c r="E7" s="5">
        <f t="shared" si="0"/>
        <v>820857</v>
      </c>
    </row>
    <row r="8" spans="2:7" x14ac:dyDescent="0.25">
      <c r="B8" s="1">
        <v>2018</v>
      </c>
      <c r="C8" s="14">
        <v>781242</v>
      </c>
      <c r="D8" s="14">
        <v>88211</v>
      </c>
      <c r="E8" s="5">
        <f t="shared" si="0"/>
        <v>869453</v>
      </c>
    </row>
    <row r="9" spans="2:7" x14ac:dyDescent="0.25">
      <c r="B9" s="1">
        <v>2019</v>
      </c>
      <c r="C9" s="15">
        <v>828116</v>
      </c>
      <c r="D9" s="15">
        <v>97032</v>
      </c>
      <c r="E9" s="5">
        <f t="shared" si="0"/>
        <v>925148</v>
      </c>
    </row>
    <row r="10" spans="2:7" x14ac:dyDescent="0.25">
      <c r="B10" s="1">
        <v>2020</v>
      </c>
      <c r="C10" s="14">
        <v>877803</v>
      </c>
      <c r="D10" s="14">
        <v>102854</v>
      </c>
      <c r="E10" s="5">
        <f t="shared" si="0"/>
        <v>980657</v>
      </c>
    </row>
    <row r="11" spans="2:7" x14ac:dyDescent="0.25">
      <c r="B11" s="1">
        <v>2021</v>
      </c>
      <c r="C11" s="15">
        <v>908526</v>
      </c>
      <c r="D11" s="15">
        <v>106454</v>
      </c>
      <c r="E11" s="5">
        <f t="shared" si="0"/>
        <v>1014980</v>
      </c>
    </row>
    <row r="12" spans="2:7" x14ac:dyDescent="0.25">
      <c r="B12" s="1">
        <v>2022</v>
      </c>
      <c r="C12" s="14">
        <v>1000000</v>
      </c>
      <c r="D12" s="14">
        <v>117172</v>
      </c>
      <c r="E12" s="5">
        <f t="shared" si="0"/>
        <v>1117172</v>
      </c>
    </row>
    <row r="13" spans="2:7" x14ac:dyDescent="0.25">
      <c r="B13" s="1">
        <v>2023</v>
      </c>
      <c r="C13" s="15">
        <v>1160000</v>
      </c>
      <c r="D13" s="15">
        <v>140606</v>
      </c>
      <c r="E13" s="5">
        <f t="shared" si="0"/>
        <v>1300606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LIQ POLIZA</vt:lpstr>
      <vt:lpstr>LIQ PRETENSIONES</vt:lpstr>
      <vt:lpstr>SMMLV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Giovanna Carolina Romero Ciodaro</cp:lastModifiedBy>
  <cp:revision/>
  <dcterms:created xsi:type="dcterms:W3CDTF">2023-05-23T18:21:31Z</dcterms:created>
  <dcterms:modified xsi:type="dcterms:W3CDTF">2023-08-24T21:36:07Z</dcterms:modified>
  <cp:category/>
  <cp:contentStatus/>
</cp:coreProperties>
</file>